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120" activeTab="0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<sst xmlns="http://schemas.openxmlformats.org/spreadsheetml/2006/main" count="360" uniqueCount="180">
  <si>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</si>
  <si>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</si>
  <si>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</si>
  <si>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</si>
  <si>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</si>
  <si>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</si>
  <si>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</si>
  <si>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</si>
  <si>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</si>
  <si>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</si>
  <si>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</si>
  <si>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</si>
  <si>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</si>
  <si>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</si>
  <si>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</si>
  <si>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</si>
  <si>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</si>
  <si>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</si>
  <si>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</si>
  <si>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</si>
  <si>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</si>
  <si>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</si>
  <si>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</si>
  <si>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</si>
  <si>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</si>
  <si>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</si>
  <si>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</si>
  <si>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</si>
  <si>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</si>
  <si>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</si>
  <si>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PROFIT BEFORE TAXATION</t>
  </si>
  <si>
    <t>REVENUE</t>
  </si>
  <si>
    <t>RM '000</t>
  </si>
  <si>
    <t>CONDENSED CONSOLIDATED INCOME STATEMENT</t>
  </si>
  <si>
    <t>Taxation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</si>
  <si>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</si>
  <si>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</si>
  <si>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</si>
  <si>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</si>
  <si>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</si>
  <si>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</si>
  <si>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</si>
  <si>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</si>
  <si>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</si>
  <si>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</si>
  <si>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</si>
  <si>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</si>
  <si>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</si>
  <si>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</si>
  <si>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</si>
  <si>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</si>
  <si>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</si>
  <si>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</si>
  <si>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</si>
  <si>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</si>
  <si>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</si>
  <si>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</si>
  <si>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</si>
  <si>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</si>
  <si>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</si>
  <si>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Foreign Currency Translation</t>
  </si>
  <si>
    <t xml:space="preserve">   Differences</t>
  </si>
  <si>
    <t>ANALYSIS OF CASH AND CASH EQUIVALENTS :</t>
  </si>
  <si>
    <t>Cash and bank balances</t>
  </si>
  <si>
    <t>Bank overdrafts</t>
  </si>
  <si>
    <t>PROFIT/(LOSS) FROM OPERATIONS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</si>
  <si>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</si>
  <si>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</si>
  <si>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</si>
  <si>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</si>
  <si>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</si>
  <si>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</si>
  <si>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</si>
  <si>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</si>
  <si>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</si>
  <si>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</si>
  <si>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</si>
  <si>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</si>
  <si>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</si>
  <si>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CASH AND CASH EQUIVALENTS AT END OF PERIOD</t>
  </si>
  <si>
    <t xml:space="preserve">     Net cash from acquisition of a subsidiary comapny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</si>
  <si>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</si>
  <si>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</si>
  <si>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</si>
  <si>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</si>
  <si>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</si>
  <si>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</si>
  <si>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</si>
  <si>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</si>
  <si>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Dividend paid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</si>
  <si>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</si>
  <si>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</si>
  <si>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</si>
  <si>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</si>
  <si>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</si>
  <si>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</si>
  <si>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</si>
  <si>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</si>
  <si>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</si>
  <si>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 xml:space="preserve">Basic Profit/(Loss) Per Ordinary Share (Sen) 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</si>
  <si>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</si>
  <si>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</si>
  <si>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</si>
  <si>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</si>
  <si>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</si>
  <si>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</si>
  <si>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</si>
  <si>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</si>
  <si>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</si>
  <si>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</si>
  <si>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</si>
  <si>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</si>
  <si>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</si>
  <si>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</si>
  <si>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REVALUATION RESERVE</t>
  </si>
  <si>
    <t>EXCHANGE RESERVE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</si>
  <si>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</si>
  <si>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</si>
  <si>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</si>
  <si>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</si>
  <si>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</si>
  <si>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</si>
  <si>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</si>
  <si>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</si>
  <si>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</si>
  <si>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</si>
  <si>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</si>
  <si>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</si>
  <si>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</si>
  <si>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</si>
  <si>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>AMOUNT OWING BY SUBSIDIARIES COMPANY</t>
  </si>
  <si>
    <t xml:space="preserve">SHORT TERM BORROWINGS </t>
  </si>
  <si>
    <t>CONTINUING OPERATIONS :</t>
  </si>
  <si>
    <t>CONTINUING OPERATIONS</t>
  </si>
  <si>
    <t>DISCONTINUED OPERATIONS :</t>
  </si>
  <si>
    <t>from continuing operations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</si>
  <si>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</si>
  <si>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</si>
  <si>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</si>
  <si>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</si>
  <si>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</si>
  <si>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</si>
  <si>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ASSETS</t>
  </si>
  <si>
    <t>CLASSIFIED</t>
  </si>
  <si>
    <t>FOR SALE</t>
  </si>
  <si>
    <t xml:space="preserve">AS HELD </t>
  </si>
  <si>
    <t>TRADE RECEIVABLES</t>
  </si>
  <si>
    <t>Annual Financial Report for the year ended 31 December 2006.</t>
  </si>
  <si>
    <t>Minority Interests</t>
  </si>
  <si>
    <t>AMOUNTS OWING TO DIRECTORS</t>
  </si>
  <si>
    <t>LOSSES</t>
  </si>
  <si>
    <t>INTERESTS</t>
  </si>
  <si>
    <t>NET CASH INFLOW FROM INVESTING ACTIVITIES</t>
  </si>
  <si>
    <t xml:space="preserve">     Increase in directors' account</t>
  </si>
  <si>
    <t>NET CASH USED IN FINANCING ACTIVITIES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</si>
  <si>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</si>
  <si>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</si>
  <si>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</si>
  <si>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</si>
  <si>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</si>
  <si>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Dividend received//Proceed from redemption of preference shares</t>
  </si>
  <si>
    <t>Net Profit For The Period</t>
  </si>
  <si>
    <t>PROFIT/(LOSS) BEFORE TAX - Continuing operations</t>
  </si>
  <si>
    <t xml:space="preserve">                                                         - Discontinued operations</t>
  </si>
  <si>
    <t>UNAUDITED RESULTS OF THE GROUP FOR THE FOURTH QUARTER ENDED 31 DECEMBER 2007</t>
  </si>
  <si>
    <t xml:space="preserve">PROFIT FOR THE PERIOD FROM </t>
  </si>
  <si>
    <t xml:space="preserve">Basic Profit Per Ordinary Share (Sen) </t>
  </si>
  <si>
    <t>BALANCE AT 1 OCT 2006</t>
  </si>
  <si>
    <t>BALANCE AT 31 DEC 2006</t>
  </si>
  <si>
    <t>BALANCE AT 1 OCT 2007</t>
  </si>
  <si>
    <t>BALANCE AT 31 DEC 2007</t>
  </si>
  <si>
    <t>Realisation of exchange translation reserve</t>
  </si>
  <si>
    <t>Gain arising from disposal of subsidiaries</t>
  </si>
  <si>
    <t>Profit/(Loss) for the period from discontinued operations</t>
  </si>
  <si>
    <t xml:space="preserve">NET PROFIT FOR THE PERIOD </t>
  </si>
  <si>
    <t>OPERATING PROFIT/(LOSS) BEFORE CHANGES IN WORKING CAPITAL</t>
  </si>
  <si>
    <t>NET CASH INFLOW FROM/(USED IN) OPERATING ACTIVITIES</t>
  </si>
  <si>
    <t xml:space="preserve">     Proceeds from disposal of subsidiaries, net cash disposed</t>
  </si>
  <si>
    <t>Fixed deposits</t>
  </si>
  <si>
    <t>NET DECREASE IN CASH AND CASH EQUIVALENTS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</si>
</sst>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183" fontId="4" fillId="0" borderId="0" xfId="15" applyNumberFormat="1" applyFont="1" applyAlignment="1">
      <alignment/>
    </xf>
    <xf numFmtId="181" fontId="4" fillId="0" borderId="3" xfId="0" applyNumberFormat="1" applyFont="1" applyBorder="1" applyAlignment="1">
      <alignment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tabSelected="1" zoomScale="75" zoomScaleNormal="75" workbookViewId="0" topLeftCell="A1">
      <selection activeCell="A16" sqref="A16"/>
    </sheetView>
  </sheetViews>
  <sheetFormatPr defaultColWidth="9.140625" defaultRowHeight="12.75"/>
  <cols>
    <col min="2" max="2" width="53.140625" style="0" customWidth="1"/>
    <col min="3" max="3" width="5.71093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164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33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25</v>
      </c>
      <c r="G10" s="17"/>
      <c r="H10" s="17"/>
      <c r="I10" s="17"/>
      <c r="J10" s="7" t="s">
        <v>25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87</v>
      </c>
      <c r="E14" s="7"/>
      <c r="F14" s="38" t="s">
        <v>87</v>
      </c>
      <c r="G14" s="2"/>
      <c r="H14" s="38" t="s">
        <v>87</v>
      </c>
      <c r="I14" s="7"/>
      <c r="J14" s="38" t="s">
        <v>87</v>
      </c>
    </row>
    <row r="15" spans="2:10" ht="15.75">
      <c r="B15" s="1"/>
      <c r="C15" s="1"/>
      <c r="D15" s="3">
        <v>2007</v>
      </c>
      <c r="E15" s="3"/>
      <c r="F15" s="3">
        <v>2006</v>
      </c>
      <c r="G15" s="3"/>
      <c r="H15" s="3">
        <v>2007</v>
      </c>
      <c r="I15" s="3"/>
      <c r="J15" s="3">
        <v>2006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 t="s">
        <v>132</v>
      </c>
      <c r="C18" s="1"/>
      <c r="D18" s="1" t="s">
        <v>0</v>
      </c>
      <c r="E18" s="1"/>
      <c r="F18" s="1"/>
      <c r="G18" s="1"/>
      <c r="H18" s="1" t="s">
        <v>0</v>
      </c>
      <c r="I18" s="1"/>
      <c r="J18" s="1"/>
    </row>
    <row r="19" spans="2:10" ht="15.75">
      <c r="B19" s="23" t="s">
        <v>31</v>
      </c>
      <c r="C19" s="1"/>
      <c r="D19" s="31">
        <f>51026-33546</f>
        <v>17480</v>
      </c>
      <c r="E19" s="31"/>
      <c r="F19" s="47">
        <f>53883-44346</f>
        <v>9537</v>
      </c>
      <c r="G19" s="1"/>
      <c r="H19" s="31">
        <v>51025.604759999995</v>
      </c>
      <c r="I19" s="31"/>
      <c r="J19" s="47">
        <v>53883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66</v>
      </c>
      <c r="C21" s="1"/>
      <c r="D21" s="15">
        <f>-51019+33046</f>
        <v>-17973</v>
      </c>
      <c r="E21" s="1"/>
      <c r="F21" s="15">
        <f>-58853+47523</f>
        <v>-11330</v>
      </c>
      <c r="G21" s="1"/>
      <c r="H21" s="11">
        <v>-51019.211930000005</v>
      </c>
      <c r="I21" s="1"/>
      <c r="J21" s="15">
        <v>-58853</v>
      </c>
    </row>
    <row r="22" spans="2:10" ht="15.75">
      <c r="B22" s="1" t="s">
        <v>67</v>
      </c>
      <c r="C22" s="18"/>
      <c r="D22" s="11">
        <f>967-814</f>
        <v>153</v>
      </c>
      <c r="E22" s="11"/>
      <c r="F22" s="15">
        <f>1145-965</f>
        <v>180</v>
      </c>
      <c r="G22" s="18"/>
      <c r="H22" s="11">
        <v>967.0476499999995</v>
      </c>
      <c r="I22" s="11"/>
      <c r="J22" s="15">
        <v>1145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65</v>
      </c>
      <c r="C24" s="18"/>
      <c r="D24" s="11">
        <f>SUM(D19:D23)</f>
        <v>-340</v>
      </c>
      <c r="E24" s="11"/>
      <c r="F24" s="15">
        <f>SUM(F19:F23)</f>
        <v>-1613</v>
      </c>
      <c r="G24" s="18"/>
      <c r="H24" s="11">
        <f>SUM(H19:H23)</f>
        <v>973.4404799999893</v>
      </c>
      <c r="I24" s="11"/>
      <c r="J24" s="11">
        <f>SUM(J19:J23)</f>
        <v>-3825</v>
      </c>
    </row>
    <row r="25" spans="2:10" ht="15.75">
      <c r="B25" s="23"/>
      <c r="C25" s="18"/>
      <c r="D25" s="11" t="s">
        <v>0</v>
      </c>
      <c r="E25" s="11"/>
      <c r="F25" s="15"/>
      <c r="G25" s="18"/>
      <c r="H25" s="11" t="s">
        <v>0</v>
      </c>
      <c r="I25" s="11"/>
      <c r="J25" s="18"/>
    </row>
    <row r="26" spans="2:10" ht="16.5">
      <c r="B26" s="40" t="s">
        <v>74</v>
      </c>
      <c r="C26" s="18"/>
      <c r="D26" s="11">
        <f>11884-2470</f>
        <v>9414</v>
      </c>
      <c r="E26" s="11"/>
      <c r="F26" s="15">
        <f>3536-2684</f>
        <v>852</v>
      </c>
      <c r="G26" s="18"/>
      <c r="H26" s="11">
        <v>11884.040899999998</v>
      </c>
      <c r="I26" s="11"/>
      <c r="J26" s="15">
        <v>3536</v>
      </c>
    </row>
    <row r="27" spans="2:10" ht="16.5">
      <c r="B27" s="40" t="s">
        <v>75</v>
      </c>
      <c r="C27" s="18"/>
      <c r="D27" s="11">
        <f>-8658+5698</f>
        <v>-2960</v>
      </c>
      <c r="E27" s="11"/>
      <c r="F27" s="15">
        <f>-4961+3693</f>
        <v>-1268</v>
      </c>
      <c r="G27" s="18"/>
      <c r="H27" s="11">
        <v>-8658.46701</v>
      </c>
      <c r="I27" s="11"/>
      <c r="J27" s="15">
        <v>-4961</v>
      </c>
    </row>
    <row r="28" spans="2:10" ht="16.5">
      <c r="B28" s="40" t="s">
        <v>68</v>
      </c>
      <c r="C28" s="18"/>
      <c r="D28" s="11">
        <f>1592-2040</f>
        <v>-448</v>
      </c>
      <c r="E28" s="11"/>
      <c r="F28" s="15">
        <f>25818-372</f>
        <v>25446</v>
      </c>
      <c r="G28" s="18"/>
      <c r="H28" s="11">
        <v>1592.325877499999</v>
      </c>
      <c r="I28" s="11"/>
      <c r="J28" s="15">
        <v>25818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 t="s">
        <v>0</v>
      </c>
    </row>
    <row r="30" spans="2:10" ht="15.75">
      <c r="B30" s="39" t="s">
        <v>30</v>
      </c>
      <c r="C30" s="18"/>
      <c r="D30" s="11">
        <f>SUM(D24:D29)</f>
        <v>5666</v>
      </c>
      <c r="E30" s="11"/>
      <c r="F30" s="11">
        <f>SUM(F24:F29)</f>
        <v>23417</v>
      </c>
      <c r="G30" s="18"/>
      <c r="H30" s="11">
        <f>SUM(H24:H29)+0.5</f>
        <v>5791.840247499986</v>
      </c>
      <c r="I30" s="11"/>
      <c r="J30" s="11">
        <f>SUM(J24:J29)</f>
        <v>20568</v>
      </c>
    </row>
    <row r="31" spans="2:13" ht="15.75">
      <c r="B31" s="39" t="s">
        <v>0</v>
      </c>
      <c r="C31" s="18"/>
      <c r="D31" s="11" t="s">
        <v>0</v>
      </c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0" t="s">
        <v>34</v>
      </c>
      <c r="C32" s="1"/>
      <c r="D32" s="31">
        <f>-21-774</f>
        <v>-795</v>
      </c>
      <c r="E32" s="31"/>
      <c r="F32" s="36">
        <f>-910+673</f>
        <v>-237</v>
      </c>
      <c r="G32" s="1"/>
      <c r="H32" s="31">
        <v>-21.293240000000026</v>
      </c>
      <c r="I32" s="31"/>
      <c r="J32" s="36">
        <v>-910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>
      <c r="B34" s="39" t="s">
        <v>165</v>
      </c>
      <c r="C34" s="1"/>
      <c r="D34" s="52" t="s">
        <v>0</v>
      </c>
      <c r="E34" s="52"/>
      <c r="F34" s="52" t="s">
        <v>0</v>
      </c>
      <c r="G34" s="10" t="s">
        <v>0</v>
      </c>
      <c r="H34" s="52" t="s">
        <v>0</v>
      </c>
      <c r="I34" s="52" t="s">
        <v>0</v>
      </c>
      <c r="J34" s="52" t="s">
        <v>0</v>
      </c>
    </row>
    <row r="35" spans="2:10" ht="15.75">
      <c r="B35" s="39" t="s">
        <v>133</v>
      </c>
      <c r="C35" s="18"/>
      <c r="D35" s="31">
        <f>SUM(D30:D33)</f>
        <v>4871</v>
      </c>
      <c r="E35" s="31"/>
      <c r="F35" s="31">
        <f>SUM(F30:F33)</f>
        <v>23180</v>
      </c>
      <c r="G35" s="10"/>
      <c r="H35" s="31">
        <f>SUM(H30:H33)+0.5</f>
        <v>5771.047007499986</v>
      </c>
      <c r="I35" s="31"/>
      <c r="J35" s="31">
        <f>SUM(J30:J33)</f>
        <v>19658</v>
      </c>
    </row>
    <row r="36" spans="2:10" ht="15.75">
      <c r="B36" s="39"/>
      <c r="C36" s="18"/>
      <c r="D36" s="11"/>
      <c r="E36" s="11"/>
      <c r="F36" s="11"/>
      <c r="G36" s="18"/>
      <c r="H36" s="11"/>
      <c r="I36" s="11"/>
      <c r="J36" s="11"/>
    </row>
    <row r="37" spans="2:10" ht="15.75">
      <c r="B37" s="39" t="s">
        <v>134</v>
      </c>
      <c r="C37" s="18"/>
      <c r="D37" s="11"/>
      <c r="E37" s="11"/>
      <c r="F37" s="11"/>
      <c r="G37" s="18"/>
      <c r="H37" s="11"/>
      <c r="I37" s="11"/>
      <c r="J37" s="11"/>
    </row>
    <row r="38" spans="2:10" ht="15.75">
      <c r="B38" s="39" t="s">
        <v>173</v>
      </c>
      <c r="C38" s="18"/>
      <c r="D38" s="11">
        <v>0</v>
      </c>
      <c r="E38" s="11"/>
      <c r="F38" s="11">
        <f>-15668+20968</f>
        <v>5300</v>
      </c>
      <c r="G38" s="18"/>
      <c r="H38" s="11">
        <v>0</v>
      </c>
      <c r="I38" s="11"/>
      <c r="J38" s="11">
        <v>-15668</v>
      </c>
    </row>
    <row r="39" spans="2:10" ht="15.75">
      <c r="B39" s="39"/>
      <c r="C39" s="18"/>
      <c r="D39" s="11"/>
      <c r="E39" s="11"/>
      <c r="F39" s="11"/>
      <c r="G39" s="18"/>
      <c r="H39" s="11"/>
      <c r="I39" s="11"/>
      <c r="J39" s="11"/>
    </row>
    <row r="40" spans="2:10" ht="16.5" thickBot="1">
      <c r="B40" s="39" t="s">
        <v>174</v>
      </c>
      <c r="C40" s="18"/>
      <c r="D40" s="12">
        <f>SUM(D35:D39)</f>
        <v>4871</v>
      </c>
      <c r="E40" s="12"/>
      <c r="F40" s="12">
        <f>SUM(F35:F39)</f>
        <v>28480</v>
      </c>
      <c r="G40" s="18"/>
      <c r="H40" s="12">
        <f>SUM(H35:H39)</f>
        <v>5771.047007499986</v>
      </c>
      <c r="I40" s="12"/>
      <c r="J40" s="12">
        <f>SUM(J35:J39)</f>
        <v>3990</v>
      </c>
    </row>
    <row r="41" spans="2:10" ht="16.5" thickTop="1">
      <c r="B41" s="39"/>
      <c r="C41" s="18"/>
      <c r="D41" s="31"/>
      <c r="E41" s="31"/>
      <c r="F41" s="31"/>
      <c r="G41" s="18"/>
      <c r="H41" s="31"/>
      <c r="I41" s="31"/>
      <c r="J41" s="31"/>
    </row>
    <row r="42" spans="2:10" ht="15.75">
      <c r="B42" s="39" t="s">
        <v>96</v>
      </c>
      <c r="C42" s="18"/>
      <c r="D42" s="11"/>
      <c r="E42" s="11"/>
      <c r="F42" s="11"/>
      <c r="G42" s="18"/>
      <c r="H42" s="11"/>
      <c r="I42" s="11"/>
      <c r="J42" s="11"/>
    </row>
    <row r="43" spans="2:10" ht="15.75">
      <c r="B43" s="21" t="s">
        <v>100</v>
      </c>
      <c r="C43" s="18"/>
      <c r="D43" s="11">
        <f>5956-931</f>
        <v>5025</v>
      </c>
      <c r="E43" s="11"/>
      <c r="F43" s="11">
        <f>9831+15814</f>
        <v>25645</v>
      </c>
      <c r="G43" s="18"/>
      <c r="H43" s="11">
        <f>H40-H44</f>
        <v>5955.732941799985</v>
      </c>
      <c r="I43" s="11"/>
      <c r="J43" s="11">
        <f>3990-J44</f>
        <v>9831</v>
      </c>
    </row>
    <row r="44" spans="2:10" ht="16.5">
      <c r="B44" s="40" t="s">
        <v>148</v>
      </c>
      <c r="C44" s="18"/>
      <c r="D44" s="11">
        <f>-185+31</f>
        <v>-154</v>
      </c>
      <c r="E44" s="11"/>
      <c r="F44" s="36">
        <f>-5841+8676</f>
        <v>2835</v>
      </c>
      <c r="G44" s="18"/>
      <c r="H44" s="11">
        <v>-184.68593429999984</v>
      </c>
      <c r="I44" s="11"/>
      <c r="J44" s="36">
        <v>-5841</v>
      </c>
    </row>
    <row r="45" spans="2:10" ht="15.75">
      <c r="B45" s="1"/>
      <c r="C45" s="1"/>
      <c r="D45" s="8"/>
      <c r="E45" s="8"/>
      <c r="F45" s="8"/>
      <c r="G45" s="1"/>
      <c r="H45" s="8"/>
      <c r="I45" s="8"/>
      <c r="J45" s="8"/>
    </row>
    <row r="46" spans="2:10" ht="16.5" thickBot="1">
      <c r="B46" s="39" t="s">
        <v>0</v>
      </c>
      <c r="C46" s="1"/>
      <c r="D46" s="12">
        <f>SUM(D43:D45)</f>
        <v>4871</v>
      </c>
      <c r="E46" s="12"/>
      <c r="F46" s="12">
        <f>SUM(F43:F45)</f>
        <v>28480</v>
      </c>
      <c r="G46" s="1"/>
      <c r="H46" s="12">
        <f>SUM(H43:H45)</f>
        <v>5771.047007499986</v>
      </c>
      <c r="I46" s="12"/>
      <c r="J46" s="12">
        <f>SUM(J43:J45)</f>
        <v>3990</v>
      </c>
    </row>
    <row r="47" spans="2:10" ht="16.5" thickTop="1">
      <c r="B47" s="1" t="s">
        <v>0</v>
      </c>
      <c r="C47" s="1"/>
      <c r="D47" s="1" t="s">
        <v>0</v>
      </c>
      <c r="E47" s="1"/>
      <c r="F47" s="1"/>
      <c r="G47" s="1"/>
      <c r="H47" s="1" t="s">
        <v>0</v>
      </c>
      <c r="I47" s="1"/>
      <c r="J47" s="1"/>
    </row>
    <row r="48" spans="2:10" ht="15.75">
      <c r="B48" s="1"/>
      <c r="C48" s="1"/>
      <c r="D48" s="11" t="s">
        <v>0</v>
      </c>
      <c r="E48" s="1"/>
      <c r="F48" s="1" t="s">
        <v>0</v>
      </c>
      <c r="G48" s="1"/>
      <c r="H48" s="1" t="s">
        <v>0</v>
      </c>
      <c r="I48" s="1"/>
      <c r="J48" s="1"/>
    </row>
    <row r="49" spans="2:10" ht="15.75">
      <c r="B49" s="23" t="s">
        <v>0</v>
      </c>
      <c r="C49" s="1"/>
      <c r="D49" s="11" t="s">
        <v>0</v>
      </c>
      <c r="E49" s="1"/>
      <c r="F49" s="1"/>
      <c r="G49" s="1"/>
      <c r="H49" s="1" t="s">
        <v>0</v>
      </c>
      <c r="I49" s="1"/>
      <c r="J49" s="1"/>
    </row>
    <row r="50" spans="2:13" ht="15.75">
      <c r="B50" s="23" t="s">
        <v>126</v>
      </c>
      <c r="C50" s="1"/>
      <c r="D50" s="11"/>
      <c r="E50" s="1"/>
      <c r="F50" s="1"/>
      <c r="G50" s="1"/>
      <c r="H50" s="1"/>
      <c r="I50" s="1"/>
      <c r="J50" s="1"/>
      <c r="M50" s="35"/>
    </row>
    <row r="51" spans="2:10" ht="15.75">
      <c r="B51" s="23" t="s">
        <v>97</v>
      </c>
      <c r="C51" s="1"/>
      <c r="D51" s="37" t="s">
        <v>0</v>
      </c>
      <c r="E51" s="11"/>
      <c r="F51" s="1"/>
      <c r="G51" s="1"/>
      <c r="H51" s="1"/>
      <c r="I51" s="1"/>
      <c r="J51" s="1"/>
    </row>
    <row r="52" ht="15.75">
      <c r="B52" s="23" t="s">
        <v>166</v>
      </c>
    </row>
    <row r="53" spans="2:13" ht="15.75">
      <c r="B53" s="23" t="s">
        <v>135</v>
      </c>
      <c r="D53" s="14">
        <f>(D35+(210-57)+(-25+25))/120000*100</f>
        <v>4.186666666666667</v>
      </c>
      <c r="E53" s="14"/>
      <c r="F53" s="14">
        <f>(F35-(30-30)-(0)+(210-159))/120000*100</f>
        <v>19.359166666666667</v>
      </c>
      <c r="G53" s="1"/>
      <c r="H53" s="14">
        <v>4.963110784833322</v>
      </c>
      <c r="I53" s="14"/>
      <c r="J53" s="37">
        <f>(J35-(0)-(30)+210)/120000*100</f>
        <v>16.531666666666666</v>
      </c>
      <c r="M53" s="14"/>
    </row>
    <row r="54" spans="2:10" ht="15.75">
      <c r="B54" s="23"/>
      <c r="D54" s="14"/>
      <c r="E54" s="14"/>
      <c r="F54" s="14"/>
      <c r="G54" s="1"/>
      <c r="H54" s="14"/>
      <c r="I54" s="14"/>
      <c r="J54" s="14"/>
    </row>
    <row r="55" spans="2:10" ht="15.75">
      <c r="B55" s="23" t="s">
        <v>99</v>
      </c>
      <c r="D55" s="14"/>
      <c r="E55" s="14"/>
      <c r="F55" s="14"/>
      <c r="G55" s="1"/>
      <c r="H55" s="14"/>
      <c r="I55" s="14"/>
      <c r="J55" s="14"/>
    </row>
    <row r="56" spans="2:13" ht="15.75">
      <c r="B56" s="23" t="s">
        <v>136</v>
      </c>
      <c r="D56" s="14">
        <f>(D38+(0-0))/120000*100</f>
        <v>0</v>
      </c>
      <c r="E56" s="14"/>
      <c r="F56" s="14">
        <f>(F38+(5661-8546))/120000*100</f>
        <v>2.0125</v>
      </c>
      <c r="G56" s="1"/>
      <c r="H56" s="14">
        <v>0</v>
      </c>
      <c r="I56" s="14"/>
      <c r="J56" s="14">
        <f>(J38+(5661))/120000*100</f>
        <v>-8.339166666666667</v>
      </c>
      <c r="M56" s="14"/>
    </row>
    <row r="57" spans="2:10" ht="16.5">
      <c r="B57" s="40" t="s">
        <v>0</v>
      </c>
      <c r="D57" s="14" t="s">
        <v>0</v>
      </c>
      <c r="E57" s="14"/>
      <c r="F57" s="49" t="s">
        <v>0</v>
      </c>
      <c r="G57" s="1"/>
      <c r="H57" s="49" t="s">
        <v>0</v>
      </c>
      <c r="I57" s="14"/>
      <c r="J57" s="49" t="s">
        <v>0</v>
      </c>
    </row>
    <row r="58" spans="2:13" ht="17.25" thickBot="1">
      <c r="B58" s="40" t="s">
        <v>35</v>
      </c>
      <c r="D58" s="54">
        <f>SUM(D53:D57)</f>
        <v>4.186666666666667</v>
      </c>
      <c r="E58" s="53"/>
      <c r="F58" s="54">
        <f>SUM(F53:F57)</f>
        <v>21.371666666666666</v>
      </c>
      <c r="G58" s="1"/>
      <c r="H58" s="54">
        <f>SUM(H53:H57)</f>
        <v>4.963110784833322</v>
      </c>
      <c r="I58" s="53"/>
      <c r="J58" s="54">
        <f>SUM(J53:J57)</f>
        <v>8.192499999999999</v>
      </c>
      <c r="M58" s="50"/>
    </row>
    <row r="59" spans="2:10" ht="17.25" thickTop="1">
      <c r="B59" s="40" t="s">
        <v>0</v>
      </c>
      <c r="D59" s="14"/>
      <c r="E59" s="14"/>
      <c r="F59" s="14"/>
      <c r="G59" s="1"/>
      <c r="H59" s="14"/>
      <c r="I59" s="14"/>
      <c r="J59" s="14"/>
    </row>
    <row r="60" spans="2:10" ht="15.75">
      <c r="B60" s="23" t="s">
        <v>98</v>
      </c>
      <c r="C60" s="1"/>
      <c r="D60" s="14" t="s">
        <v>0</v>
      </c>
      <c r="E60" s="1"/>
      <c r="F60" s="49"/>
      <c r="G60" s="1"/>
      <c r="H60" s="49"/>
      <c r="I60" s="14"/>
      <c r="J60" s="49"/>
    </row>
    <row r="61" spans="2:10" ht="16.5">
      <c r="B61" s="40" t="s">
        <v>36</v>
      </c>
      <c r="C61" s="1"/>
      <c r="D61" s="14" t="s">
        <v>0</v>
      </c>
      <c r="E61" s="1"/>
      <c r="F61" s="49"/>
      <c r="G61" s="1"/>
      <c r="H61" s="49"/>
      <c r="I61" s="14"/>
      <c r="J61" s="49"/>
    </row>
    <row r="62" spans="2:10" ht="15.75">
      <c r="B62" s="23"/>
      <c r="C62" s="1"/>
      <c r="D62" s="14"/>
      <c r="E62" s="1"/>
      <c r="F62" s="49"/>
      <c r="G62" s="1"/>
      <c r="H62" s="49"/>
      <c r="I62" s="14"/>
      <c r="J62" s="49"/>
    </row>
    <row r="63" spans="2:10" ht="15.75">
      <c r="B63" s="23" t="s">
        <v>0</v>
      </c>
      <c r="C63" s="1" t="s">
        <v>0</v>
      </c>
      <c r="D63" s="51" t="s">
        <v>0</v>
      </c>
      <c r="E63" s="14"/>
      <c r="F63" s="14" t="s">
        <v>0</v>
      </c>
      <c r="G63" s="1"/>
      <c r="H63" s="29"/>
      <c r="I63" s="29"/>
      <c r="J63" s="1"/>
    </row>
    <row r="64" spans="2:10" ht="15.75">
      <c r="B64" s="23"/>
      <c r="C64" s="1"/>
      <c r="D64" s="14"/>
      <c r="E64" s="14"/>
      <c r="F64" s="14"/>
      <c r="G64" s="1"/>
      <c r="H64" s="29"/>
      <c r="I64" s="29"/>
      <c r="J64" s="1"/>
    </row>
    <row r="65" spans="2:10" ht="15.75">
      <c r="B65" s="23"/>
      <c r="C65" s="1"/>
      <c r="D65" s="14"/>
      <c r="E65" s="14"/>
      <c r="F65" s="57" t="s">
        <v>0</v>
      </c>
      <c r="G65" s="1"/>
      <c r="H65" s="29"/>
      <c r="I65" s="29"/>
      <c r="J65" s="1"/>
    </row>
    <row r="66" spans="2:10" ht="15.75">
      <c r="B66" s="23"/>
      <c r="C66" s="1"/>
      <c r="D66" s="14"/>
      <c r="E66" s="14"/>
      <c r="F66" s="14"/>
      <c r="G66" s="1"/>
      <c r="H66" s="29"/>
      <c r="I66" s="29"/>
      <c r="J66" s="1"/>
    </row>
    <row r="67" spans="2:10" ht="15.75">
      <c r="B67" s="23" t="s">
        <v>57</v>
      </c>
      <c r="C67" s="1"/>
      <c r="D67" s="14"/>
      <c r="E67" s="14"/>
      <c r="F67" s="14"/>
      <c r="G67" s="1"/>
      <c r="H67" s="29"/>
      <c r="I67" s="29"/>
      <c r="J67" s="1"/>
    </row>
    <row r="68" spans="2:10" ht="15.75">
      <c r="B68" s="23" t="s">
        <v>147</v>
      </c>
      <c r="C68" s="1"/>
      <c r="D68" s="14"/>
      <c r="E68" s="14"/>
      <c r="F68" s="14"/>
      <c r="G68" s="1"/>
      <c r="H68" s="29"/>
      <c r="I68" s="29"/>
      <c r="J68" s="1"/>
    </row>
    <row r="81" ht="16.5">
      <c r="B81" s="40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="75" zoomScaleNormal="75" workbookViewId="0" topLeftCell="A47">
      <selection activeCell="A79" sqref="A79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</cols>
  <sheetData>
    <row r="1" spans="1:5" ht="15.75">
      <c r="A1" s="58" t="s">
        <v>3</v>
      </c>
      <c r="B1" s="58"/>
      <c r="C1" s="58"/>
      <c r="D1" s="58"/>
      <c r="E1" s="58"/>
    </row>
    <row r="2" spans="1:5" ht="15.75">
      <c r="A2" s="58" t="s">
        <v>4</v>
      </c>
      <c r="B2" s="58"/>
      <c r="C2" s="58"/>
      <c r="D2" s="58"/>
      <c r="E2" s="58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58" t="s">
        <v>164</v>
      </c>
      <c r="B4" s="58"/>
      <c r="C4" s="58"/>
      <c r="D4" s="58"/>
      <c r="E4" s="58"/>
    </row>
    <row r="5" spans="1:5" ht="15.75">
      <c r="A5" s="58" t="s">
        <v>40</v>
      </c>
      <c r="B5" s="58"/>
      <c r="C5" s="58"/>
      <c r="D5" s="58"/>
      <c r="E5" s="58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25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87</v>
      </c>
      <c r="D12" s="1"/>
      <c r="E12" s="38" t="s">
        <v>87</v>
      </c>
    </row>
    <row r="13" spans="1:5" ht="15.75">
      <c r="A13" s="23"/>
      <c r="B13" s="1"/>
      <c r="C13" s="3">
        <v>2007</v>
      </c>
      <c r="D13" s="1"/>
      <c r="E13" s="3">
        <v>2006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112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110</v>
      </c>
      <c r="B18" s="1"/>
      <c r="C18" s="1"/>
      <c r="D18" s="1"/>
      <c r="E18" s="1"/>
    </row>
    <row r="19" spans="1:5" ht="15.75">
      <c r="A19" s="23" t="s">
        <v>39</v>
      </c>
      <c r="B19" s="1"/>
      <c r="C19" s="15">
        <v>3327.48077</v>
      </c>
      <c r="D19" s="15"/>
      <c r="E19" s="15">
        <f>10992.316-E21-0.5</f>
        <v>10802.30298</v>
      </c>
    </row>
    <row r="20" spans="1:5" ht="15.75">
      <c r="A20" s="23" t="s">
        <v>125</v>
      </c>
      <c r="B20" s="1"/>
      <c r="C20" s="15">
        <v>300</v>
      </c>
      <c r="D20" s="15"/>
      <c r="E20" s="15">
        <v>820.3</v>
      </c>
    </row>
    <row r="21" spans="1:5" ht="15.75">
      <c r="A21" s="23" t="s">
        <v>155</v>
      </c>
      <c r="B21" s="1"/>
      <c r="C21" s="15">
        <v>186.8796</v>
      </c>
      <c r="D21" s="15"/>
      <c r="E21" s="15">
        <f>97.10035+32.09352+60.31915</f>
        <v>189.51302</v>
      </c>
    </row>
    <row r="22" spans="1:5" ht="15.75">
      <c r="A22" s="23" t="s">
        <v>82</v>
      </c>
      <c r="B22" s="1"/>
      <c r="C22" s="15">
        <v>3696.67219</v>
      </c>
      <c r="D22" s="15"/>
      <c r="E22" s="15">
        <v>4326.325</v>
      </c>
    </row>
    <row r="23" spans="1:5" ht="15.75">
      <c r="A23" s="23" t="s">
        <v>27</v>
      </c>
      <c r="B23" s="1"/>
      <c r="C23" s="15">
        <v>47761.036</v>
      </c>
      <c r="D23" s="15"/>
      <c r="E23" s="15">
        <v>61883.141</v>
      </c>
    </row>
    <row r="24" spans="1:5" ht="15.75">
      <c r="A24" s="23" t="s">
        <v>81</v>
      </c>
      <c r="B24" s="1"/>
      <c r="C24" s="15">
        <v>58800.69945</v>
      </c>
      <c r="D24" s="15"/>
      <c r="E24" s="15">
        <f>61471.387+0.5</f>
        <v>61471.887</v>
      </c>
    </row>
    <row r="25" spans="1:5" ht="15.75">
      <c r="A25" s="23" t="s">
        <v>23</v>
      </c>
      <c r="B25" s="1"/>
      <c r="C25" s="15">
        <v>15675.749</v>
      </c>
      <c r="D25" s="15"/>
      <c r="E25" s="15">
        <f>16701.705</f>
        <v>16701.705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129748.51701</v>
      </c>
      <c r="D27" s="15"/>
      <c r="E27" s="33">
        <f>SUM(E19:E26)</f>
        <v>156195.174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26</v>
      </c>
      <c r="B29" s="1"/>
      <c r="C29" s="37" t="s">
        <v>0</v>
      </c>
      <c r="D29" s="15"/>
      <c r="E29" s="15"/>
    </row>
    <row r="30" spans="1:5" ht="15.75">
      <c r="A30" s="23" t="s">
        <v>105</v>
      </c>
      <c r="B30" s="1"/>
      <c r="C30" s="28">
        <v>636.29067</v>
      </c>
      <c r="D30" s="15"/>
      <c r="E30" s="28">
        <v>218.82</v>
      </c>
    </row>
    <row r="31" spans="1:5" ht="15.75">
      <c r="A31" s="23" t="s">
        <v>27</v>
      </c>
      <c r="B31" s="1"/>
      <c r="C31" s="28">
        <v>26616.15746</v>
      </c>
      <c r="D31" s="15"/>
      <c r="E31" s="28">
        <v>28254.723</v>
      </c>
    </row>
    <row r="32" spans="1:5" ht="15.75">
      <c r="A32" s="23" t="s">
        <v>146</v>
      </c>
      <c r="B32" s="1"/>
      <c r="C32" s="28">
        <v>31107.93392</v>
      </c>
      <c r="D32" s="15"/>
      <c r="E32" s="28">
        <v>26016.611</v>
      </c>
    </row>
    <row r="33" spans="1:5" ht="15.75">
      <c r="A33" s="23" t="s">
        <v>106</v>
      </c>
      <c r="B33" s="1"/>
      <c r="C33" s="28">
        <v>7194.588650000001</v>
      </c>
      <c r="D33" s="15"/>
      <c r="E33" s="28">
        <v>6743.002</v>
      </c>
    </row>
    <row r="34" spans="1:5" ht="15.75">
      <c r="A34" s="23" t="s">
        <v>107</v>
      </c>
      <c r="B34" s="1"/>
      <c r="C34" s="28">
        <v>71.17335999999999</v>
      </c>
      <c r="D34" s="15"/>
      <c r="E34" s="28">
        <v>110.489</v>
      </c>
    </row>
    <row r="35" spans="1:5" ht="15.75" hidden="1">
      <c r="A35" s="23" t="s">
        <v>81</v>
      </c>
      <c r="B35" s="1"/>
      <c r="C35" s="28">
        <v>0</v>
      </c>
      <c r="D35" s="15"/>
      <c r="E35" s="28">
        <v>0</v>
      </c>
    </row>
    <row r="36" spans="1:5" ht="15.75" hidden="1">
      <c r="A36" s="23" t="s">
        <v>130</v>
      </c>
      <c r="B36" s="1"/>
      <c r="C36" s="28">
        <v>0</v>
      </c>
      <c r="D36" s="15"/>
      <c r="E36" s="28">
        <v>0</v>
      </c>
    </row>
    <row r="37" spans="1:5" ht="15.75" hidden="1">
      <c r="A37" s="23" t="s">
        <v>108</v>
      </c>
      <c r="B37" s="1"/>
      <c r="C37" s="28">
        <v>0</v>
      </c>
      <c r="D37" s="15"/>
      <c r="E37" s="28">
        <v>0</v>
      </c>
    </row>
    <row r="38" spans="1:5" ht="15.75">
      <c r="A38" s="23" t="s">
        <v>156</v>
      </c>
      <c r="B38" s="1"/>
      <c r="C38" s="28">
        <v>70.90447</v>
      </c>
      <c r="D38" s="15"/>
      <c r="E38" s="28">
        <v>2375.11</v>
      </c>
    </row>
    <row r="39" spans="1:5" ht="15.75">
      <c r="A39" s="23" t="s">
        <v>109</v>
      </c>
      <c r="B39" s="1"/>
      <c r="C39" s="28">
        <v>9517.762981999997</v>
      </c>
      <c r="D39" s="15"/>
      <c r="E39" s="28">
        <v>9022.38</v>
      </c>
    </row>
    <row r="40" spans="1:5" ht="15.75">
      <c r="A40" s="23"/>
      <c r="B40" s="1"/>
      <c r="C40" s="33">
        <f>SUM(C30:C39)</f>
        <v>75214.811512</v>
      </c>
      <c r="D40" s="15"/>
      <c r="E40" s="33">
        <f>SUM(E30:E39)</f>
        <v>72741.13500000001</v>
      </c>
    </row>
    <row r="41" spans="1:5" ht="15.75">
      <c r="A41" s="23"/>
      <c r="B41" s="1"/>
      <c r="C41" s="28"/>
      <c r="D41" s="15"/>
      <c r="E41" s="28"/>
    </row>
    <row r="42" spans="1:5" ht="15.75" hidden="1">
      <c r="A42" s="23" t="s">
        <v>137</v>
      </c>
      <c r="B42" s="1"/>
      <c r="C42" s="28">
        <v>0</v>
      </c>
      <c r="D42" s="15"/>
      <c r="E42" s="28">
        <v>0</v>
      </c>
    </row>
    <row r="43" spans="1:5" ht="15.75" hidden="1">
      <c r="A43" s="23"/>
      <c r="B43" s="1"/>
      <c r="C43" s="15" t="s">
        <v>0</v>
      </c>
      <c r="D43" s="15"/>
      <c r="E43" s="15" t="s">
        <v>0</v>
      </c>
    </row>
    <row r="44" spans="1:8" ht="16.5" thickBot="1">
      <c r="A44" s="23" t="s">
        <v>101</v>
      </c>
      <c r="B44" s="1"/>
      <c r="C44" s="48">
        <f>+C40+C27+C42+0.5</f>
        <v>204963.828522</v>
      </c>
      <c r="D44" s="15"/>
      <c r="E44" s="48">
        <f>+E40+E27+E42</f>
        <v>228936.309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111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128</v>
      </c>
      <c r="B49" s="1"/>
      <c r="C49" s="15"/>
      <c r="D49" s="15"/>
      <c r="E49" s="15"/>
    </row>
    <row r="50" spans="1:5" ht="15.75">
      <c r="A50" s="23" t="s">
        <v>5</v>
      </c>
      <c r="B50" s="1"/>
      <c r="C50" s="15">
        <v>120000</v>
      </c>
      <c r="D50" s="15"/>
      <c r="E50" s="15">
        <v>120000</v>
      </c>
    </row>
    <row r="51" spans="1:5" ht="15.75">
      <c r="A51" s="23" t="s">
        <v>113</v>
      </c>
      <c r="B51" s="1"/>
      <c r="C51" s="15">
        <v>29578.42555</v>
      </c>
      <c r="D51" s="15"/>
      <c r="E51" s="15">
        <f>29578.426</f>
        <v>29578.426</v>
      </c>
    </row>
    <row r="52" spans="1:5" ht="15.75" hidden="1">
      <c r="A52" s="23" t="s">
        <v>114</v>
      </c>
      <c r="B52" s="1"/>
      <c r="C52" s="15">
        <v>0</v>
      </c>
      <c r="D52" s="15"/>
      <c r="E52" s="15">
        <v>0</v>
      </c>
    </row>
    <row r="53" spans="1:5" ht="15.75" hidden="1">
      <c r="A53" s="23" t="s">
        <v>115</v>
      </c>
      <c r="B53" s="1"/>
      <c r="C53" s="15">
        <v>0</v>
      </c>
      <c r="D53" s="15"/>
      <c r="E53" s="15">
        <v>0</v>
      </c>
    </row>
    <row r="54" spans="1:5" ht="15.75">
      <c r="A54" s="23" t="s">
        <v>141</v>
      </c>
      <c r="B54" s="1"/>
      <c r="C54" s="15">
        <v>-67202.62676255233</v>
      </c>
      <c r="D54" s="15"/>
      <c r="E54" s="15">
        <v>-73158.358</v>
      </c>
    </row>
    <row r="55" spans="1:5" ht="15.75" hidden="1">
      <c r="A55" s="23" t="s">
        <v>140</v>
      </c>
      <c r="B55" s="1"/>
      <c r="C55" s="15"/>
      <c r="D55" s="15"/>
      <c r="E55" s="15"/>
    </row>
    <row r="56" spans="1:5" ht="15.75" hidden="1">
      <c r="A56" s="23" t="s">
        <v>137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</f>
        <v>82375.79878744765</v>
      </c>
      <c r="D58" s="15"/>
      <c r="E58" s="15">
        <f>SUM(E50:E57)</f>
        <v>76420.06800000001</v>
      </c>
    </row>
    <row r="59" spans="1:5" ht="15.75">
      <c r="A59" s="23" t="s">
        <v>21</v>
      </c>
      <c r="B59" s="1"/>
      <c r="C59" s="15">
        <v>273.09079999999983</v>
      </c>
      <c r="D59" s="15"/>
      <c r="E59" s="15">
        <v>4567.362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93</v>
      </c>
      <c r="B61" s="1"/>
      <c r="C61" s="33">
        <f>SUM(C58:C60)</f>
        <v>82648.88958744766</v>
      </c>
      <c r="D61" s="15"/>
      <c r="E61" s="33">
        <f>SUM(E58:E60)</f>
        <v>80987.43000000001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102</v>
      </c>
      <c r="B63" s="1"/>
      <c r="C63" s="15"/>
      <c r="D63" s="15"/>
      <c r="E63" s="15"/>
    </row>
    <row r="64" spans="1:5" ht="15.75">
      <c r="A64" s="23" t="s">
        <v>85</v>
      </c>
      <c r="B64" s="1"/>
      <c r="C64" s="15">
        <v>7652.01</v>
      </c>
      <c r="D64" s="15"/>
      <c r="E64" s="15">
        <v>7330.76</v>
      </c>
    </row>
    <row r="65" spans="1:8" ht="15.75">
      <c r="A65" s="23" t="s">
        <v>22</v>
      </c>
      <c r="B65" s="1"/>
      <c r="C65" s="15">
        <v>27483.3036</v>
      </c>
      <c r="D65" s="15"/>
      <c r="E65" s="15">
        <f>54617.715+22678.23</f>
        <v>77295.94499999999</v>
      </c>
      <c r="H65" s="35"/>
    </row>
    <row r="66" spans="1:5" ht="15.75">
      <c r="A66" s="23" t="s">
        <v>120</v>
      </c>
      <c r="B66" s="1"/>
      <c r="C66" s="15">
        <v>221.5939</v>
      </c>
      <c r="D66" s="15"/>
      <c r="E66" s="15">
        <v>108.706</v>
      </c>
    </row>
    <row r="67" spans="1:5" ht="15.75">
      <c r="A67" s="23" t="s">
        <v>24</v>
      </c>
      <c r="B67" s="1"/>
      <c r="C67" s="15">
        <v>0.39</v>
      </c>
      <c r="D67" s="15"/>
      <c r="E67" s="15">
        <f>0.877+0.5</f>
        <v>1.377</v>
      </c>
    </row>
    <row r="68" spans="1:5" ht="15.75">
      <c r="A68" s="23"/>
      <c r="B68" s="1"/>
      <c r="C68" s="33">
        <f>SUM(C64:C67)</f>
        <v>35357.2975</v>
      </c>
      <c r="D68" s="15"/>
      <c r="E68" s="33">
        <f>SUM(E64:E67)</f>
        <v>84736.78799999999</v>
      </c>
    </row>
    <row r="69" spans="1:5" ht="15.75">
      <c r="A69" s="23"/>
      <c r="B69" s="1"/>
      <c r="C69" s="15"/>
      <c r="D69" s="15"/>
      <c r="E69" s="15"/>
    </row>
    <row r="70" spans="1:5" ht="15.75">
      <c r="A70" s="4" t="s">
        <v>20</v>
      </c>
      <c r="B70" s="1"/>
      <c r="C70" s="15" t="s">
        <v>0</v>
      </c>
      <c r="D70" s="15"/>
      <c r="E70" s="15"/>
    </row>
    <row r="72" spans="1:5" ht="15.75">
      <c r="A72" s="23" t="s">
        <v>116</v>
      </c>
      <c r="B72" s="1"/>
      <c r="C72" s="28">
        <v>15157.357269999997</v>
      </c>
      <c r="D72" s="15"/>
      <c r="E72" s="28">
        <f>14186.896-0.5</f>
        <v>14186.396</v>
      </c>
    </row>
    <row r="73" spans="1:5" ht="15.75">
      <c r="A73" s="23" t="s">
        <v>117</v>
      </c>
      <c r="B73" s="1"/>
      <c r="C73" s="28">
        <v>28918.274989999994</v>
      </c>
      <c r="D73" s="15"/>
      <c r="E73" s="28">
        <v>6048.022</v>
      </c>
    </row>
    <row r="74" spans="1:8" ht="15.75">
      <c r="A74" s="23" t="s">
        <v>118</v>
      </c>
      <c r="B74" s="1"/>
      <c r="C74" s="28">
        <v>11560.22613</v>
      </c>
      <c r="D74" s="15"/>
      <c r="E74" s="28">
        <v>14654.11</v>
      </c>
      <c r="H74" s="35"/>
    </row>
    <row r="75" spans="1:5" ht="15.75">
      <c r="A75" s="23" t="s">
        <v>149</v>
      </c>
      <c r="B75" s="1"/>
      <c r="C75" s="28">
        <v>3072.6525999999994</v>
      </c>
      <c r="D75" s="15"/>
      <c r="E75" s="28">
        <v>1983.781</v>
      </c>
    </row>
    <row r="76" spans="1:5" ht="15.75" hidden="1">
      <c r="A76" s="23" t="s">
        <v>119</v>
      </c>
      <c r="B76" s="1"/>
      <c r="C76" s="28">
        <v>0</v>
      </c>
      <c r="D76" s="15"/>
      <c r="E76" s="28">
        <v>0</v>
      </c>
    </row>
    <row r="77" spans="1:5" ht="15.75">
      <c r="A77" s="23" t="s">
        <v>120</v>
      </c>
      <c r="B77" s="1"/>
      <c r="C77" s="28">
        <v>70.88171</v>
      </c>
      <c r="D77" s="15"/>
      <c r="E77" s="28">
        <v>112.753</v>
      </c>
    </row>
    <row r="78" spans="1:5" ht="15.75">
      <c r="A78" s="23" t="s">
        <v>121</v>
      </c>
      <c r="B78" s="1"/>
      <c r="C78" s="28">
        <v>0</v>
      </c>
      <c r="D78" s="15"/>
      <c r="E78" s="28">
        <v>492.388</v>
      </c>
    </row>
    <row r="79" spans="1:5" ht="15.75">
      <c r="A79" s="23" t="s">
        <v>131</v>
      </c>
      <c r="B79" s="1"/>
      <c r="C79" s="28">
        <v>27445.073650000002</v>
      </c>
      <c r="D79" s="15"/>
      <c r="E79" s="28">
        <f>48303.058-22678.23</f>
        <v>25624.827999999998</v>
      </c>
    </row>
    <row r="80" spans="1:5" ht="15.75">
      <c r="A80" s="23" t="s">
        <v>122</v>
      </c>
      <c r="B80" s="1"/>
      <c r="C80" s="28">
        <v>733.6753199999999</v>
      </c>
      <c r="D80" s="15"/>
      <c r="E80" s="28">
        <v>109.812</v>
      </c>
    </row>
    <row r="81" spans="1:5" ht="15.75">
      <c r="A81" s="23"/>
      <c r="B81" s="1"/>
      <c r="C81" s="33">
        <f>SUM(C72:C80)</f>
        <v>86958.14167</v>
      </c>
      <c r="D81" s="15"/>
      <c r="E81" s="33">
        <f>SUM(E72:E80)</f>
        <v>63212.090000000004</v>
      </c>
    </row>
    <row r="82" spans="1:5" ht="15.75" hidden="1">
      <c r="A82" s="23"/>
      <c r="B82" s="1"/>
      <c r="C82" s="24"/>
      <c r="D82" s="28"/>
      <c r="E82" s="24"/>
    </row>
    <row r="83" spans="1:5" ht="15.75" hidden="1">
      <c r="A83" s="23" t="s">
        <v>139</v>
      </c>
      <c r="B83" s="1"/>
      <c r="C83" s="28"/>
      <c r="D83" s="28"/>
      <c r="E83" s="28"/>
    </row>
    <row r="84" spans="1:5" ht="15.75" hidden="1">
      <c r="A84" s="23" t="s">
        <v>138</v>
      </c>
      <c r="B84" s="1"/>
      <c r="C84" s="28">
        <v>0</v>
      </c>
      <c r="D84" s="28"/>
      <c r="E84" s="28">
        <v>0</v>
      </c>
    </row>
    <row r="85" spans="1:5" ht="15.75">
      <c r="A85" s="23"/>
      <c r="B85" s="1"/>
      <c r="C85" s="28"/>
      <c r="D85" s="15"/>
      <c r="E85" s="28"/>
    </row>
    <row r="86" spans="1:5" ht="16.5" thickBot="1">
      <c r="A86" s="23" t="s">
        <v>103</v>
      </c>
      <c r="B86" s="1"/>
      <c r="C86" s="25">
        <f>C81+C68+C84</f>
        <v>122315.43917</v>
      </c>
      <c r="D86" s="15"/>
      <c r="E86" s="25">
        <f>E81+E68+E84</f>
        <v>147948.878</v>
      </c>
    </row>
    <row r="87" spans="1:5" ht="16.5" thickTop="1">
      <c r="A87" s="23"/>
      <c r="B87" s="1"/>
      <c r="C87" s="15"/>
      <c r="D87" s="15"/>
      <c r="E87" s="15"/>
    </row>
    <row r="88" spans="1:7" ht="16.5" thickBot="1">
      <c r="A88" s="23" t="s">
        <v>104</v>
      </c>
      <c r="B88" s="1"/>
      <c r="C88" s="48">
        <f>C81+C68+C61+C84-0.5</f>
        <v>204963.82875744766</v>
      </c>
      <c r="D88" s="15"/>
      <c r="E88" s="48">
        <f>E81+E68+E61+E84</f>
        <v>228936.30800000002</v>
      </c>
      <c r="G88" s="35"/>
    </row>
    <row r="89" spans="1:5" ht="16.5" thickTop="1">
      <c r="A89" s="23"/>
      <c r="B89" s="1"/>
      <c r="C89" s="15" t="s">
        <v>0</v>
      </c>
      <c r="D89" s="15"/>
      <c r="E89" s="15"/>
    </row>
    <row r="90" spans="1:5" ht="15.75">
      <c r="A90" s="23"/>
      <c r="B90" s="1"/>
      <c r="C90" s="15" t="s">
        <v>0</v>
      </c>
      <c r="D90" s="15"/>
      <c r="E90" s="15"/>
    </row>
    <row r="91" spans="1:5" ht="15.75">
      <c r="A91" s="2" t="s">
        <v>123</v>
      </c>
      <c r="B91" s="1"/>
      <c r="C91" s="31" t="s">
        <v>0</v>
      </c>
      <c r="D91" s="1"/>
      <c r="E91" s="10"/>
    </row>
    <row r="92" spans="1:5" ht="15.75">
      <c r="A92" s="2" t="s">
        <v>124</v>
      </c>
      <c r="B92" s="14"/>
      <c r="C92" s="37">
        <f>(C58)/C50</f>
        <v>0.6864649898953971</v>
      </c>
      <c r="D92" s="1"/>
      <c r="E92" s="37">
        <f>(E58)/E50</f>
        <v>0.6368339000000001</v>
      </c>
    </row>
    <row r="93" spans="1:5" ht="15.75">
      <c r="A93" s="23" t="s">
        <v>0</v>
      </c>
      <c r="B93" s="34"/>
      <c r="C93" s="22" t="s">
        <v>0</v>
      </c>
      <c r="D93" s="1"/>
      <c r="E93" s="1" t="s">
        <v>0</v>
      </c>
    </row>
    <row r="94" spans="1:5" ht="15.75">
      <c r="A94" s="23"/>
      <c r="B94" s="34"/>
      <c r="C94" s="22" t="s">
        <v>0</v>
      </c>
      <c r="D94" s="1"/>
      <c r="E94" s="1" t="s">
        <v>0</v>
      </c>
    </row>
    <row r="95" spans="1:5" ht="16.5">
      <c r="A95" s="41" t="s">
        <v>127</v>
      </c>
      <c r="B95" s="29"/>
      <c r="C95" s="29"/>
      <c r="D95" s="1"/>
      <c r="E95" s="1"/>
    </row>
    <row r="96" spans="1:5" ht="16.5">
      <c r="A96" s="41" t="s">
        <v>147</v>
      </c>
      <c r="B96" s="29"/>
      <c r="C96" s="29"/>
      <c r="D96" s="29"/>
      <c r="E96" s="29"/>
    </row>
    <row r="97" ht="16.5">
      <c r="A97" s="41" t="s">
        <v>0</v>
      </c>
    </row>
    <row r="98" ht="16.5">
      <c r="A98" s="41" t="s">
        <v>0</v>
      </c>
    </row>
    <row r="127" ht="16.5">
      <c r="A127" s="41" t="s">
        <v>0</v>
      </c>
    </row>
    <row r="128" ht="16.5">
      <c r="A128" s="41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58" t="s">
        <v>3</v>
      </c>
      <c r="B1" s="58"/>
      <c r="C1" s="58"/>
      <c r="D1" s="58"/>
      <c r="E1" s="58"/>
      <c r="F1" s="58"/>
      <c r="G1" s="58"/>
    </row>
    <row r="2" spans="1:7" ht="15.75">
      <c r="A2" s="58" t="s">
        <v>4</v>
      </c>
      <c r="B2" s="58"/>
      <c r="C2" s="58"/>
      <c r="D2" s="58"/>
      <c r="E2" s="58"/>
      <c r="F2" s="58"/>
      <c r="G2" s="58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58" t="s">
        <v>164</v>
      </c>
      <c r="B5" s="58"/>
      <c r="C5" s="58"/>
      <c r="D5" s="58"/>
      <c r="E5" s="58"/>
      <c r="F5" s="58"/>
      <c r="G5" s="58"/>
    </row>
    <row r="6" spans="1:7" ht="15.75">
      <c r="A6" s="58" t="s">
        <v>38</v>
      </c>
      <c r="B6" s="58"/>
      <c r="C6" s="58"/>
      <c r="D6" s="58"/>
      <c r="E6" s="58"/>
      <c r="F6" s="58"/>
      <c r="G6" s="58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9</v>
      </c>
      <c r="F9" s="1"/>
      <c r="G9" s="7" t="s">
        <v>25</v>
      </c>
    </row>
    <row r="10" spans="1:7" ht="15.75">
      <c r="A10" s="23"/>
      <c r="B10" s="29"/>
      <c r="C10" s="1"/>
      <c r="D10" s="1"/>
      <c r="E10" s="7" t="s">
        <v>28</v>
      </c>
      <c r="F10" s="1"/>
      <c r="G10" s="7" t="s">
        <v>28</v>
      </c>
    </row>
    <row r="11" spans="1:7" ht="15.75">
      <c r="A11" s="23"/>
      <c r="B11" s="29"/>
      <c r="C11" s="1"/>
      <c r="D11" s="1"/>
      <c r="E11" s="7" t="s">
        <v>71</v>
      </c>
      <c r="F11" s="1"/>
      <c r="G11" s="7" t="s">
        <v>71</v>
      </c>
    </row>
    <row r="12" spans="1:7" ht="15.75">
      <c r="A12" s="23"/>
      <c r="B12" s="29"/>
      <c r="C12" s="1"/>
      <c r="D12" s="1"/>
      <c r="E12" s="38" t="s">
        <v>87</v>
      </c>
      <c r="F12" s="56" t="s">
        <v>0</v>
      </c>
      <c r="G12" s="38" t="s">
        <v>87</v>
      </c>
    </row>
    <row r="13" spans="1:7" ht="15.75">
      <c r="A13" s="23"/>
      <c r="B13" s="29"/>
      <c r="C13" s="1"/>
      <c r="D13" s="1"/>
      <c r="E13" s="3">
        <v>2007</v>
      </c>
      <c r="F13" s="1"/>
      <c r="G13" s="3">
        <v>2006</v>
      </c>
    </row>
    <row r="14" spans="1:7" ht="15.75">
      <c r="A14" s="23"/>
      <c r="B14" s="29"/>
      <c r="C14" s="1"/>
      <c r="D14" s="1"/>
      <c r="E14" s="3" t="s">
        <v>2</v>
      </c>
      <c r="F14" s="1"/>
      <c r="G14" s="3" t="s">
        <v>2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162</v>
      </c>
      <c r="B16" s="29"/>
      <c r="C16" s="1"/>
      <c r="D16" s="1"/>
      <c r="E16" s="45">
        <f>'P&amp;L'!H30</f>
        <v>5791.840247499986</v>
      </c>
      <c r="F16" s="1"/>
      <c r="G16" s="44">
        <f>20562.506+0.5</f>
        <v>20563.006</v>
      </c>
    </row>
    <row r="17" spans="1:10" ht="15.75">
      <c r="A17" s="23" t="s">
        <v>163</v>
      </c>
      <c r="B17" s="29"/>
      <c r="C17" s="1"/>
      <c r="D17" s="1"/>
      <c r="E17" s="45">
        <v>0</v>
      </c>
      <c r="F17" s="1"/>
      <c r="G17" s="44">
        <f>-15303.59</f>
        <v>-15303.59</v>
      </c>
      <c r="J17" s="35"/>
    </row>
    <row r="18" spans="1:7" ht="16.5">
      <c r="A18" s="40" t="s">
        <v>0</v>
      </c>
      <c r="B18" s="29"/>
      <c r="C18" s="1"/>
      <c r="D18" s="1"/>
      <c r="E18" s="1"/>
      <c r="F18" s="1"/>
      <c r="G18" s="1"/>
    </row>
    <row r="19" spans="1:7" ht="15.75">
      <c r="A19" s="1" t="s">
        <v>69</v>
      </c>
      <c r="B19" s="29"/>
      <c r="C19" s="1"/>
      <c r="D19" s="1"/>
      <c r="E19" s="1" t="s">
        <v>0</v>
      </c>
      <c r="F19" s="1"/>
      <c r="G19" s="1"/>
    </row>
    <row r="20" spans="1:7" ht="15.75">
      <c r="A20" s="1" t="s">
        <v>70</v>
      </c>
      <c r="B20" s="29"/>
      <c r="C20" s="1"/>
      <c r="D20" s="1"/>
      <c r="E20" s="15">
        <v>885.9635399999999</v>
      </c>
      <c r="F20" s="15"/>
      <c r="G20" s="15">
        <f>12277+0.5</f>
        <v>12277.5</v>
      </c>
    </row>
    <row r="21" spans="1:7" ht="15.75">
      <c r="A21" s="1" t="s">
        <v>45</v>
      </c>
      <c r="B21" s="29"/>
      <c r="C21" s="1"/>
      <c r="D21" s="1"/>
      <c r="E21" s="15">
        <v>-3825.8871274999983</v>
      </c>
      <c r="F21" s="15"/>
      <c r="G21" s="15">
        <v>-18571</v>
      </c>
    </row>
    <row r="22" spans="1:7" ht="16.5">
      <c r="A22" s="40"/>
      <c r="B22" s="29"/>
      <c r="C22" s="1"/>
      <c r="D22" s="1"/>
      <c r="E22" s="16"/>
      <c r="F22" s="15"/>
      <c r="G22" s="16"/>
    </row>
    <row r="23" spans="1:7" ht="15.75">
      <c r="A23" s="23" t="s">
        <v>175</v>
      </c>
      <c r="B23" s="29"/>
      <c r="C23" s="1"/>
      <c r="D23" s="1"/>
      <c r="E23" s="44">
        <f>SUM(E16:E21)</f>
        <v>2851.916659999987</v>
      </c>
      <c r="F23" s="15"/>
      <c r="G23" s="44">
        <f>SUM(G16:G21)</f>
        <v>-1034.083999999999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41</v>
      </c>
      <c r="B25" s="29"/>
      <c r="C25" s="1"/>
      <c r="D25" s="1"/>
      <c r="E25" s="15" t="s">
        <v>0</v>
      </c>
      <c r="F25" s="15"/>
      <c r="G25" s="15"/>
    </row>
    <row r="26" spans="1:7" ht="15.75">
      <c r="A26" s="1" t="s">
        <v>43</v>
      </c>
      <c r="B26" s="29"/>
      <c r="C26" s="1"/>
      <c r="D26" s="1"/>
      <c r="E26" s="15">
        <v>-543.69812</v>
      </c>
      <c r="F26" s="15"/>
      <c r="G26" s="15">
        <v>5382</v>
      </c>
    </row>
    <row r="27" spans="1:7" ht="15.75">
      <c r="A27" s="1" t="s">
        <v>44</v>
      </c>
      <c r="B27" s="29"/>
      <c r="C27" s="1"/>
      <c r="D27" s="1"/>
      <c r="E27" s="15">
        <v>2784.1313599999926</v>
      </c>
      <c r="F27" s="15"/>
      <c r="G27" s="15">
        <v>-919</v>
      </c>
    </row>
    <row r="28" spans="1:7" ht="15.75">
      <c r="A28" s="1" t="s">
        <v>48</v>
      </c>
      <c r="B28" s="29"/>
      <c r="C28" s="1"/>
      <c r="D28" s="1"/>
      <c r="E28" s="15">
        <v>749.91905</v>
      </c>
      <c r="F28" s="15"/>
      <c r="G28" s="15">
        <v>1720</v>
      </c>
    </row>
    <row r="29" spans="1:7" ht="15.75" hidden="1">
      <c r="A29" s="1" t="s">
        <v>89</v>
      </c>
      <c r="B29" s="29"/>
      <c r="C29" s="1"/>
      <c r="D29" s="1"/>
      <c r="E29" s="15">
        <v>0</v>
      </c>
      <c r="F29" s="15"/>
      <c r="G29" s="15">
        <v>0</v>
      </c>
    </row>
    <row r="30" spans="1:7" ht="15.75">
      <c r="A30" s="1" t="s">
        <v>47</v>
      </c>
      <c r="B30" s="29"/>
      <c r="C30" s="1"/>
      <c r="D30" s="1"/>
      <c r="E30" s="15">
        <v>-7.6543399999999995</v>
      </c>
      <c r="F30" s="15"/>
      <c r="G30" s="15">
        <v>-4132</v>
      </c>
    </row>
    <row r="31" spans="1:9" ht="15.75">
      <c r="A31" s="1" t="s">
        <v>49</v>
      </c>
      <c r="B31" s="29"/>
      <c r="C31" s="1"/>
      <c r="D31" s="1"/>
      <c r="E31" s="15">
        <v>623.52838</v>
      </c>
      <c r="F31" s="15"/>
      <c r="G31" s="15">
        <v>-4579</v>
      </c>
      <c r="I31" s="35"/>
    </row>
    <row r="32" spans="1:7" ht="15.75" hidden="1">
      <c r="A32" s="1" t="s">
        <v>90</v>
      </c>
      <c r="B32" s="29"/>
      <c r="C32" s="1"/>
      <c r="D32" s="1"/>
      <c r="E32" s="28">
        <v>0</v>
      </c>
      <c r="F32" s="28"/>
      <c r="G32" s="28">
        <v>0</v>
      </c>
    </row>
    <row r="33" spans="1:7" ht="15.75">
      <c r="A33" s="1"/>
      <c r="B33" s="29"/>
      <c r="C33" s="1"/>
      <c r="D33" s="1"/>
      <c r="E33" s="16"/>
      <c r="F33" s="15"/>
      <c r="G33" s="16" t="s">
        <v>0</v>
      </c>
    </row>
    <row r="34" spans="1:7" ht="15.75">
      <c r="A34" s="23" t="s">
        <v>176</v>
      </c>
      <c r="B34" s="29"/>
      <c r="C34" s="1"/>
      <c r="D34" s="1"/>
      <c r="E34" s="44">
        <f>SUM(E23:E32)</f>
        <v>6458.142989999979</v>
      </c>
      <c r="F34" s="15"/>
      <c r="G34" s="44">
        <f>SUM(G23:G32)</f>
        <v>-3562.083999999999</v>
      </c>
    </row>
    <row r="35" spans="1:7" ht="15.75">
      <c r="A35" s="23"/>
      <c r="B35" s="29"/>
      <c r="C35" s="1"/>
      <c r="D35" s="1"/>
      <c r="E35" s="15" t="s">
        <v>0</v>
      </c>
      <c r="F35" s="15"/>
      <c r="G35" s="15"/>
    </row>
    <row r="36" spans="1:7" ht="15.75">
      <c r="A36" s="1" t="s">
        <v>42</v>
      </c>
      <c r="B36" s="29"/>
      <c r="C36" s="1"/>
      <c r="D36" s="1"/>
      <c r="E36" s="15" t="s">
        <v>0</v>
      </c>
      <c r="F36" s="15"/>
      <c r="G36" s="15"/>
    </row>
    <row r="37" spans="1:7" ht="15.75">
      <c r="A37" s="1" t="s">
        <v>160</v>
      </c>
      <c r="B37" s="29"/>
      <c r="C37" s="1"/>
      <c r="D37" s="1"/>
      <c r="E37" s="15">
        <v>634.59</v>
      </c>
      <c r="F37" s="15"/>
      <c r="G37" s="15">
        <f>1443-278.821</f>
        <v>1164.179</v>
      </c>
    </row>
    <row r="38" spans="1:7" ht="15.75">
      <c r="A38" s="1" t="s">
        <v>48</v>
      </c>
      <c r="B38" s="29"/>
      <c r="C38" s="1"/>
      <c r="D38" s="1"/>
      <c r="E38" s="15">
        <v>29.288</v>
      </c>
      <c r="F38" s="15"/>
      <c r="G38" s="15">
        <v>278.821</v>
      </c>
    </row>
    <row r="39" spans="1:7" ht="15.75">
      <c r="A39" s="1" t="s">
        <v>129</v>
      </c>
      <c r="B39" s="29"/>
      <c r="C39" s="1"/>
      <c r="D39" s="1"/>
      <c r="E39" s="15">
        <v>3865.85</v>
      </c>
      <c r="F39" s="15"/>
      <c r="G39" s="15">
        <v>6477</v>
      </c>
    </row>
    <row r="40" spans="1:7" ht="15.75">
      <c r="A40" s="1" t="s">
        <v>86</v>
      </c>
      <c r="B40" s="29"/>
      <c r="C40" s="1"/>
      <c r="D40" s="1"/>
      <c r="E40" s="15">
        <v>0</v>
      </c>
      <c r="F40" s="15"/>
      <c r="G40" s="15">
        <f>10</f>
        <v>10</v>
      </c>
    </row>
    <row r="41" spans="1:7" ht="15.75">
      <c r="A41" s="1" t="s">
        <v>177</v>
      </c>
      <c r="B41" s="29"/>
      <c r="C41" s="1"/>
      <c r="D41" s="1"/>
      <c r="E41" s="15">
        <v>15929.16872</v>
      </c>
      <c r="F41" s="15"/>
      <c r="G41" s="15">
        <f>-4945-10</f>
        <v>-4955</v>
      </c>
    </row>
    <row r="42" spans="1:7" ht="15.75">
      <c r="A42" s="1" t="s">
        <v>76</v>
      </c>
      <c r="B42" s="29"/>
      <c r="C42" s="1"/>
      <c r="D42" s="1"/>
      <c r="E42" s="15">
        <v>340.322</v>
      </c>
      <c r="F42" s="15"/>
      <c r="G42" s="15">
        <v>2068</v>
      </c>
    </row>
    <row r="43" spans="1:7" ht="15.75" hidden="1">
      <c r="A43" s="1" t="s">
        <v>91</v>
      </c>
      <c r="B43" s="29"/>
      <c r="C43" s="1"/>
      <c r="D43" s="1"/>
      <c r="E43" s="15">
        <v>0</v>
      </c>
      <c r="F43" s="15"/>
      <c r="G43" s="15">
        <v>0</v>
      </c>
    </row>
    <row r="44" spans="1:7" ht="15.75" hidden="1">
      <c r="A44" s="1" t="s">
        <v>80</v>
      </c>
      <c r="B44" s="29"/>
      <c r="C44" s="1"/>
      <c r="D44" s="1"/>
      <c r="E44" s="15">
        <v>0</v>
      </c>
      <c r="F44" s="15"/>
      <c r="G44" s="15"/>
    </row>
    <row r="45" spans="1:7" ht="15.75">
      <c r="A45" s="1" t="s">
        <v>84</v>
      </c>
      <c r="B45" s="29"/>
      <c r="C45" s="1"/>
      <c r="D45" s="1"/>
      <c r="E45" s="15">
        <v>-116.48547999999994</v>
      </c>
      <c r="F45" s="15"/>
      <c r="G45" s="15">
        <v>-3509</v>
      </c>
    </row>
    <row r="46" spans="1:7" ht="15.75">
      <c r="A46" s="1" t="s">
        <v>0</v>
      </c>
      <c r="B46" s="29"/>
      <c r="C46" s="1"/>
      <c r="D46" s="1"/>
      <c r="E46" s="15" t="s">
        <v>0</v>
      </c>
      <c r="F46" s="15"/>
      <c r="G46" s="15"/>
    </row>
    <row r="47" spans="1:7" ht="15.75">
      <c r="A47" s="23" t="s">
        <v>152</v>
      </c>
      <c r="B47" s="29"/>
      <c r="C47" s="1"/>
      <c r="D47" s="1"/>
      <c r="E47" s="33">
        <f>SUM(E37:E46)+0.5</f>
        <v>20683.23324</v>
      </c>
      <c r="F47" s="15"/>
      <c r="G47" s="33">
        <f>SUM(G37:G46)</f>
        <v>1534</v>
      </c>
    </row>
    <row r="48" spans="1:7" ht="15.75">
      <c r="A48" s="1"/>
      <c r="B48" s="29"/>
      <c r="C48" s="1"/>
      <c r="D48" s="1"/>
      <c r="E48" s="15"/>
      <c r="F48" s="15"/>
      <c r="G48" s="15"/>
    </row>
    <row r="49" spans="1:7" ht="15.75">
      <c r="A49" s="1" t="s">
        <v>46</v>
      </c>
      <c r="B49" s="29"/>
      <c r="C49" s="1"/>
      <c r="D49" s="1"/>
      <c r="E49" s="15" t="s">
        <v>0</v>
      </c>
      <c r="F49" s="15"/>
      <c r="G49" s="15"/>
    </row>
    <row r="50" spans="1:7" ht="15.75">
      <c r="A50" s="1" t="s">
        <v>157</v>
      </c>
      <c r="B50" s="29"/>
      <c r="C50" s="1"/>
      <c r="D50" s="1"/>
      <c r="E50" s="15">
        <v>148.69765999999993</v>
      </c>
      <c r="F50" s="15"/>
      <c r="G50" s="15">
        <v>11790</v>
      </c>
    </row>
    <row r="51" spans="1:7" ht="15.75">
      <c r="A51" s="1" t="s">
        <v>73</v>
      </c>
      <c r="B51" s="29"/>
      <c r="C51" s="1"/>
      <c r="D51" s="1"/>
      <c r="E51" s="15">
        <v>7900.264</v>
      </c>
      <c r="F51" s="15"/>
      <c r="G51" s="15">
        <v>108013</v>
      </c>
    </row>
    <row r="52" spans="1:7" ht="15.75">
      <c r="A52" s="1" t="s">
        <v>88</v>
      </c>
      <c r="B52" s="29"/>
      <c r="C52" s="1"/>
      <c r="D52" s="1"/>
      <c r="E52" s="15">
        <v>-31157.10076</v>
      </c>
      <c r="F52" s="15"/>
      <c r="G52" s="15">
        <v>-127029</v>
      </c>
    </row>
    <row r="53" spans="1:7" ht="15.75">
      <c r="A53" s="1" t="s">
        <v>153</v>
      </c>
      <c r="B53" s="29"/>
      <c r="C53" s="1"/>
      <c r="D53" s="1"/>
      <c r="E53" s="15">
        <v>1088.8719</v>
      </c>
      <c r="F53" s="15"/>
      <c r="G53" s="15">
        <v>971</v>
      </c>
    </row>
    <row r="54" spans="1:7" ht="15.75">
      <c r="A54" s="1" t="s">
        <v>158</v>
      </c>
      <c r="B54" s="29"/>
      <c r="C54" s="1"/>
      <c r="D54" s="1"/>
      <c r="E54" s="15">
        <v>-128.65901000000002</v>
      </c>
      <c r="F54" s="15"/>
      <c r="G54" s="15">
        <v>-106</v>
      </c>
    </row>
    <row r="55" spans="1:7" ht="15.75">
      <c r="A55" s="1" t="s">
        <v>47</v>
      </c>
      <c r="B55" s="29"/>
      <c r="C55" s="1"/>
      <c r="D55" s="1"/>
      <c r="E55" s="15">
        <v>-6159.83339</v>
      </c>
      <c r="F55" s="15"/>
      <c r="G55" s="15">
        <v>-1770</v>
      </c>
    </row>
    <row r="56" spans="1:7" ht="15.75" hidden="1">
      <c r="A56" s="1" t="s">
        <v>92</v>
      </c>
      <c r="B56" s="29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9"/>
      <c r="C57" s="1"/>
      <c r="D57" s="1"/>
      <c r="E57" s="15"/>
      <c r="F57" s="15"/>
      <c r="G57" s="15"/>
    </row>
    <row r="58" spans="1:7" ht="15.75">
      <c r="A58" s="23" t="s">
        <v>154</v>
      </c>
      <c r="B58" s="29"/>
      <c r="C58" s="1"/>
      <c r="D58" s="1"/>
      <c r="E58" s="33">
        <f>SUM(E50:E57)</f>
        <v>-28307.7596</v>
      </c>
      <c r="F58" s="15"/>
      <c r="G58" s="33">
        <f>SUM(G50:G57)</f>
        <v>-8131</v>
      </c>
    </row>
    <row r="59" spans="1:7" ht="15.75">
      <c r="A59" s="23"/>
      <c r="B59" s="29"/>
      <c r="C59" s="1"/>
      <c r="D59" s="1"/>
      <c r="E59" s="43" t="s">
        <v>0</v>
      </c>
      <c r="F59" s="15"/>
      <c r="G59" s="15"/>
    </row>
    <row r="60" spans="1:7" ht="15.75">
      <c r="A60" s="23" t="s">
        <v>179</v>
      </c>
      <c r="B60" s="29"/>
      <c r="C60" s="1"/>
      <c r="D60" s="1"/>
      <c r="E60" s="44">
        <f>E34+E47+E58-0.5</f>
        <v>-1166.8833700000214</v>
      </c>
      <c r="F60" s="15"/>
      <c r="G60" s="44">
        <f>G34+G47+G58</f>
        <v>-10159.083999999999</v>
      </c>
    </row>
    <row r="61" spans="1:7" ht="15.75">
      <c r="A61" s="1" t="s">
        <v>77</v>
      </c>
      <c r="B61" s="29"/>
      <c r="C61" s="1"/>
      <c r="D61" s="1"/>
      <c r="E61" s="1" t="s">
        <v>0</v>
      </c>
      <c r="F61" s="15"/>
      <c r="G61" s="15"/>
    </row>
    <row r="62" spans="1:7" ht="15.75">
      <c r="A62" s="27" t="s">
        <v>78</v>
      </c>
      <c r="B62" s="29"/>
      <c r="C62" s="1"/>
      <c r="D62" s="1"/>
      <c r="E62" s="15">
        <v>10756</v>
      </c>
      <c r="F62" s="15"/>
      <c r="G62" s="15">
        <v>20915</v>
      </c>
    </row>
    <row r="63" spans="1:7" ht="15.75">
      <c r="A63" s="23"/>
      <c r="B63" s="29"/>
      <c r="C63" s="1"/>
      <c r="D63" s="1"/>
      <c r="E63" s="1"/>
      <c r="F63" s="15"/>
      <c r="G63" s="15"/>
    </row>
    <row r="64" spans="1:7" ht="16.5" thickBot="1">
      <c r="A64" s="23" t="s">
        <v>79</v>
      </c>
      <c r="B64" s="29"/>
      <c r="C64" s="1"/>
      <c r="D64" s="1"/>
      <c r="E64" s="46">
        <f>SUM(E60:E63)</f>
        <v>9589.116629999979</v>
      </c>
      <c r="F64" s="15"/>
      <c r="G64" s="48">
        <f>SUM(G60:G63)</f>
        <v>10755.916000000001</v>
      </c>
    </row>
    <row r="65" spans="1:7" ht="16.5" thickTop="1">
      <c r="A65" s="23"/>
      <c r="B65" s="29"/>
      <c r="C65" s="1"/>
      <c r="D65" s="1"/>
      <c r="E65" s="10"/>
      <c r="F65" s="15"/>
      <c r="G65" s="15"/>
    </row>
    <row r="66" spans="1:7" ht="15.75">
      <c r="A66" s="23"/>
      <c r="B66" s="29"/>
      <c r="C66" s="1"/>
      <c r="D66" s="1"/>
      <c r="E66" s="1" t="s">
        <v>0</v>
      </c>
      <c r="F66" s="15"/>
      <c r="G66" s="15"/>
    </row>
    <row r="67" spans="1:7" ht="15.75">
      <c r="A67" s="23" t="s">
        <v>62</v>
      </c>
      <c r="B67" s="29"/>
      <c r="C67" s="1"/>
      <c r="D67" s="1"/>
      <c r="E67" s="1"/>
      <c r="F67" s="15"/>
      <c r="G67" s="15"/>
    </row>
    <row r="68" spans="1:7" ht="15.75">
      <c r="A68" s="1" t="s">
        <v>63</v>
      </c>
      <c r="B68" s="29"/>
      <c r="C68" s="1"/>
      <c r="D68" s="1"/>
      <c r="E68" s="15">
        <v>9517.762981999995</v>
      </c>
      <c r="F68" s="15"/>
      <c r="G68" s="15">
        <v>9022</v>
      </c>
    </row>
    <row r="69" spans="1:7" ht="15.75">
      <c r="A69" s="1" t="s">
        <v>178</v>
      </c>
      <c r="B69" s="29"/>
      <c r="C69" s="1"/>
      <c r="D69" s="1"/>
      <c r="E69" s="15">
        <v>70.90447</v>
      </c>
      <c r="F69" s="15"/>
      <c r="G69" s="15">
        <v>2375</v>
      </c>
    </row>
    <row r="70" spans="1:7" ht="15.75">
      <c r="A70" s="1" t="s">
        <v>64</v>
      </c>
      <c r="B70" s="29"/>
      <c r="C70" s="1"/>
      <c r="D70" s="1"/>
      <c r="E70" s="15">
        <v>0</v>
      </c>
      <c r="F70" s="15"/>
      <c r="G70" s="15">
        <v>-492</v>
      </c>
    </row>
    <row r="71" spans="1:7" ht="15.75">
      <c r="A71" s="1" t="s">
        <v>72</v>
      </c>
      <c r="B71" s="29"/>
      <c r="C71" s="1"/>
      <c r="D71" s="1"/>
      <c r="E71" s="16">
        <v>0</v>
      </c>
      <c r="F71" s="15"/>
      <c r="G71" s="16">
        <v>0</v>
      </c>
    </row>
    <row r="72" spans="1:7" ht="15.75">
      <c r="A72" s="1"/>
      <c r="B72" s="29"/>
      <c r="C72" s="1"/>
      <c r="D72" s="1"/>
      <c r="E72" s="15">
        <f>SUM(E68:E71)</f>
        <v>9588.667451999994</v>
      </c>
      <c r="F72" s="15"/>
      <c r="G72" s="15">
        <f>SUM(G68:G71)</f>
        <v>10905</v>
      </c>
    </row>
    <row r="73" spans="1:7" ht="15.75">
      <c r="A73" s="1" t="s">
        <v>159</v>
      </c>
      <c r="B73" s="29"/>
      <c r="C73" s="1"/>
      <c r="D73" s="1"/>
      <c r="E73" s="15">
        <v>0</v>
      </c>
      <c r="F73" s="15"/>
      <c r="G73" s="15">
        <v>-149</v>
      </c>
    </row>
    <row r="74" spans="1:7" ht="16.5" thickBot="1">
      <c r="A74" s="23" t="s">
        <v>77</v>
      </c>
      <c r="B74" s="29"/>
      <c r="C74" s="1"/>
      <c r="D74" s="1"/>
      <c r="E74" s="48">
        <f>SUM(E72:E73)</f>
        <v>9588.667451999994</v>
      </c>
      <c r="F74" s="15"/>
      <c r="G74" s="48">
        <f>SUM(G72:G73)</f>
        <v>10756</v>
      </c>
    </row>
    <row r="75" spans="1:7" ht="16.5" thickTop="1">
      <c r="A75" s="23"/>
      <c r="B75" s="29"/>
      <c r="C75" s="1"/>
      <c r="D75" s="1"/>
      <c r="E75" s="1" t="s">
        <v>0</v>
      </c>
      <c r="F75" s="1"/>
      <c r="G75" s="1"/>
    </row>
    <row r="76" spans="1:7" ht="16.5">
      <c r="A76" s="41"/>
      <c r="B76" s="29"/>
      <c r="C76" s="1"/>
      <c r="D76" s="1"/>
      <c r="E76" s="1"/>
      <c r="F76" s="1"/>
      <c r="G76" s="1"/>
    </row>
    <row r="77" spans="1:7" ht="15.75">
      <c r="A77" s="23"/>
      <c r="B77" s="29"/>
      <c r="C77" s="1"/>
      <c r="D77" s="1"/>
      <c r="E77" s="1"/>
      <c r="F77" s="1"/>
      <c r="G77" s="1"/>
    </row>
    <row r="78" spans="1:7" ht="15.75">
      <c r="A78" s="23" t="s">
        <v>59</v>
      </c>
      <c r="B78" s="29"/>
      <c r="C78" s="1"/>
      <c r="D78" s="1"/>
      <c r="E78" s="1"/>
      <c r="F78" s="1"/>
      <c r="G78" s="1"/>
    </row>
    <row r="79" spans="1:7" ht="15.75">
      <c r="A79" s="23" t="s">
        <v>147</v>
      </c>
      <c r="B79" s="29"/>
      <c r="C79" s="1"/>
      <c r="D79" s="1"/>
      <c r="E79" s="1"/>
      <c r="F79" s="1"/>
      <c r="G79" s="1"/>
    </row>
    <row r="88" ht="16.5">
      <c r="A88" s="41"/>
    </row>
    <row r="89" ht="16.5">
      <c r="A89" s="41"/>
    </row>
    <row r="90" ht="16.5">
      <c r="A90" s="41"/>
    </row>
    <row r="91" ht="16.5">
      <c r="A91" s="41"/>
    </row>
    <row r="92" ht="16.5">
      <c r="A92" s="41"/>
    </row>
    <row r="99" ht="12.75">
      <c r="G99" s="55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0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41.140625" style="0" customWidth="1"/>
    <col min="2" max="2" width="2.7109375" style="0" customWidth="1"/>
    <col min="3" max="3" width="12.57421875" style="0" customWidth="1"/>
    <col min="4" max="4" width="12.421875" style="0" customWidth="1"/>
    <col min="5" max="5" width="17.28125" style="0" hidden="1" customWidth="1"/>
    <col min="6" max="6" width="17.28125" style="0" customWidth="1"/>
    <col min="7" max="7" width="14.421875" style="0" hidden="1" customWidth="1"/>
    <col min="8" max="8" width="18.57421875" style="0" customWidth="1"/>
    <col min="9" max="9" width="11.8515625" style="0" customWidth="1"/>
    <col min="10" max="10" width="14.8515625" style="0" customWidth="1"/>
    <col min="11" max="11" width="13.7109375" style="0" customWidth="1"/>
  </cols>
  <sheetData>
    <row r="1" spans="1:11" ht="15.75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0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  <c r="J3" s="18"/>
    </row>
    <row r="4" spans="1:10" ht="15.75">
      <c r="A4" s="30"/>
      <c r="B4" s="19"/>
      <c r="C4" s="19"/>
      <c r="D4" s="19"/>
      <c r="E4" s="19"/>
      <c r="F4" s="19"/>
      <c r="G4" s="18"/>
      <c r="H4" s="18"/>
      <c r="I4" s="18"/>
      <c r="J4" s="18"/>
    </row>
    <row r="5" spans="1:11" ht="15.75">
      <c r="A5" s="58" t="s">
        <v>164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.75">
      <c r="A6" s="58" t="s">
        <v>37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0" ht="15.75">
      <c r="A9" s="26" t="s">
        <v>0</v>
      </c>
      <c r="B9" s="1"/>
      <c r="C9" s="14"/>
      <c r="D9" s="14"/>
      <c r="E9" s="1"/>
      <c r="F9" s="14"/>
      <c r="G9" s="18"/>
      <c r="H9" s="18"/>
      <c r="I9" s="18"/>
      <c r="J9" s="18"/>
    </row>
    <row r="10" spans="1:10" ht="15.75">
      <c r="A10" s="26"/>
      <c r="B10" s="1"/>
      <c r="C10" s="14"/>
      <c r="D10" s="14"/>
      <c r="E10" s="1"/>
      <c r="F10" s="14"/>
      <c r="G10" s="7" t="s">
        <v>142</v>
      </c>
      <c r="H10" s="7" t="s">
        <v>0</v>
      </c>
      <c r="I10" s="7"/>
      <c r="J10" s="7"/>
    </row>
    <row r="11" spans="1:10" ht="15.75">
      <c r="A11" s="1" t="s">
        <v>0</v>
      </c>
      <c r="B11" s="29"/>
      <c r="C11" s="29"/>
      <c r="D11" s="7" t="s">
        <v>0</v>
      </c>
      <c r="F11" s="7" t="s">
        <v>55</v>
      </c>
      <c r="G11" s="7" t="s">
        <v>143</v>
      </c>
      <c r="H11" s="7" t="s">
        <v>0</v>
      </c>
      <c r="I11" s="7"/>
      <c r="J11" s="7"/>
    </row>
    <row r="12" spans="1:11" ht="15.75">
      <c r="A12" s="1"/>
      <c r="B12" s="29"/>
      <c r="C12" s="42" t="s">
        <v>50</v>
      </c>
      <c r="D12" s="7" t="s">
        <v>52</v>
      </c>
      <c r="E12" s="7" t="s">
        <v>54</v>
      </c>
      <c r="F12" s="7" t="s">
        <v>56</v>
      </c>
      <c r="G12" s="7" t="s">
        <v>145</v>
      </c>
      <c r="H12" s="42" t="s">
        <v>83</v>
      </c>
      <c r="I12" s="42"/>
      <c r="J12" s="42" t="s">
        <v>94</v>
      </c>
      <c r="K12" s="42" t="s">
        <v>1</v>
      </c>
    </row>
    <row r="13" spans="1:11" ht="15.75">
      <c r="A13" s="1" t="s">
        <v>0</v>
      </c>
      <c r="B13" s="29"/>
      <c r="C13" s="7" t="s">
        <v>51</v>
      </c>
      <c r="D13" s="7" t="s">
        <v>53</v>
      </c>
      <c r="E13" s="42" t="s">
        <v>6</v>
      </c>
      <c r="F13" s="42" t="s">
        <v>6</v>
      </c>
      <c r="G13" s="42" t="s">
        <v>144</v>
      </c>
      <c r="H13" s="42" t="s">
        <v>150</v>
      </c>
      <c r="I13" s="42" t="s">
        <v>1</v>
      </c>
      <c r="J13" s="42" t="s">
        <v>151</v>
      </c>
      <c r="K13" s="42" t="s">
        <v>95</v>
      </c>
    </row>
    <row r="14" spans="1:11" ht="15.75">
      <c r="A14" s="1" t="s">
        <v>29</v>
      </c>
      <c r="B14" s="29"/>
      <c r="C14" s="7" t="s">
        <v>2</v>
      </c>
      <c r="D14" s="7" t="s">
        <v>2</v>
      </c>
      <c r="E14" s="7" t="s">
        <v>32</v>
      </c>
      <c r="F14" s="7" t="s">
        <v>32</v>
      </c>
      <c r="G14" s="7" t="s">
        <v>32</v>
      </c>
      <c r="H14" s="7" t="s">
        <v>32</v>
      </c>
      <c r="I14" s="7" t="s">
        <v>32</v>
      </c>
      <c r="J14" s="7" t="s">
        <v>32</v>
      </c>
      <c r="K14" s="7" t="s">
        <v>32</v>
      </c>
    </row>
    <row r="15" spans="1:10" ht="15.75">
      <c r="A15" s="1" t="s">
        <v>0</v>
      </c>
      <c r="B15" s="29"/>
      <c r="C15" s="1" t="s">
        <v>0</v>
      </c>
      <c r="D15" s="1"/>
      <c r="E15" s="1"/>
      <c r="G15" s="18"/>
      <c r="H15" s="18" t="s">
        <v>0</v>
      </c>
      <c r="I15" s="18"/>
      <c r="J15" s="18"/>
    </row>
    <row r="16" spans="1:10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  <c r="J16" s="18"/>
    </row>
    <row r="17" spans="1:11" ht="15.75">
      <c r="A17" s="23" t="s">
        <v>167</v>
      </c>
      <c r="B17" s="29"/>
      <c r="C17" s="15">
        <v>120000</v>
      </c>
      <c r="D17" s="15">
        <v>29578.426</v>
      </c>
      <c r="E17" s="15">
        <v>0</v>
      </c>
      <c r="F17" s="15">
        <v>21054</v>
      </c>
      <c r="G17" s="15">
        <v>0</v>
      </c>
      <c r="H17" s="15">
        <v>-98803</v>
      </c>
      <c r="I17" s="15">
        <f>SUM(C17:H17)</f>
        <v>71829.426</v>
      </c>
      <c r="J17" s="15">
        <v>18410</v>
      </c>
      <c r="K17" s="15">
        <f>SUM(I17:J17)</f>
        <v>90239.426</v>
      </c>
    </row>
    <row r="18" spans="1:11" ht="15.75">
      <c r="A18" s="23"/>
      <c r="B18" s="29"/>
      <c r="C18" s="1"/>
      <c r="D18" s="1"/>
      <c r="E18" s="1"/>
      <c r="F18" s="15"/>
      <c r="G18" s="15"/>
      <c r="H18" s="15"/>
      <c r="I18" s="15"/>
      <c r="J18" s="15"/>
      <c r="K18" s="15"/>
    </row>
    <row r="19" spans="1:11" ht="16.5">
      <c r="A19" s="40" t="s">
        <v>60</v>
      </c>
      <c r="B19" s="29"/>
      <c r="C19" s="11" t="s">
        <v>0</v>
      </c>
      <c r="D19" s="11" t="s">
        <v>0</v>
      </c>
      <c r="E19" s="15" t="s">
        <v>0</v>
      </c>
      <c r="F19" s="11" t="s">
        <v>0</v>
      </c>
      <c r="G19" s="15"/>
      <c r="H19" s="15"/>
      <c r="I19" s="15"/>
      <c r="J19" s="15"/>
      <c r="K19" s="15" t="s">
        <v>0</v>
      </c>
    </row>
    <row r="20" spans="1:11" ht="16.5">
      <c r="A20" s="40" t="s">
        <v>61</v>
      </c>
      <c r="B20" s="29"/>
      <c r="C20" s="14">
        <v>0</v>
      </c>
      <c r="D20" s="14">
        <v>0</v>
      </c>
      <c r="E20" s="1"/>
      <c r="F20" s="15">
        <v>517</v>
      </c>
      <c r="G20" s="15"/>
      <c r="H20" s="14">
        <v>0</v>
      </c>
      <c r="I20" s="15">
        <f>SUM(C20:H20)</f>
        <v>517</v>
      </c>
      <c r="J20" s="15">
        <v>-16678</v>
      </c>
      <c r="K20" s="15">
        <f>SUM(I20:J20)</f>
        <v>-16161</v>
      </c>
    </row>
    <row r="21" spans="1:11" ht="16.5">
      <c r="A21" s="40" t="s">
        <v>0</v>
      </c>
      <c r="B21" s="29"/>
      <c r="C21" s="14"/>
      <c r="D21" s="14"/>
      <c r="E21" s="1"/>
      <c r="F21" s="15"/>
      <c r="G21" s="15"/>
      <c r="H21" s="14"/>
      <c r="I21" s="15"/>
      <c r="J21" s="15"/>
      <c r="K21" s="15"/>
    </row>
    <row r="22" spans="1:11" ht="16.5">
      <c r="A22" s="40" t="s">
        <v>171</v>
      </c>
      <c r="B22" s="29"/>
      <c r="C22" s="14"/>
      <c r="D22" s="14"/>
      <c r="E22" s="1"/>
      <c r="F22" s="15">
        <v>-21571</v>
      </c>
      <c r="G22" s="15"/>
      <c r="H22" s="15">
        <v>21571</v>
      </c>
      <c r="I22" s="15">
        <f>SUM(C22:H22)</f>
        <v>0</v>
      </c>
      <c r="J22" s="14">
        <v>0</v>
      </c>
      <c r="K22" s="15">
        <f>SUM(I22:J22)</f>
        <v>0</v>
      </c>
    </row>
    <row r="23" spans="1:11" ht="16.5">
      <c r="A23" s="40"/>
      <c r="B23" s="29"/>
      <c r="C23" s="1"/>
      <c r="D23" s="1"/>
      <c r="E23" s="1"/>
      <c r="F23" s="11"/>
      <c r="G23" s="15"/>
      <c r="H23" s="15"/>
      <c r="I23" s="15"/>
      <c r="J23" s="15"/>
      <c r="K23" s="15"/>
    </row>
    <row r="24" spans="1:11" ht="16.5">
      <c r="A24" s="40" t="s">
        <v>172</v>
      </c>
      <c r="B24" s="29"/>
      <c r="C24" s="1"/>
      <c r="D24" s="1"/>
      <c r="E24" s="1"/>
      <c r="F24" s="11"/>
      <c r="G24" s="15"/>
      <c r="H24" s="15">
        <v>3156</v>
      </c>
      <c r="I24" s="15">
        <f>SUM(C24:H24)</f>
        <v>3156</v>
      </c>
      <c r="J24" s="14">
        <v>0</v>
      </c>
      <c r="K24" s="15">
        <f>SUM(I24:J24)</f>
        <v>3156</v>
      </c>
    </row>
    <row r="25" spans="1:11" ht="16.5">
      <c r="A25" s="40"/>
      <c r="B25" s="29"/>
      <c r="C25" s="1"/>
      <c r="D25" s="1"/>
      <c r="E25" s="1"/>
      <c r="F25" s="11"/>
      <c r="G25" s="15"/>
      <c r="H25" s="15"/>
      <c r="I25" s="15"/>
      <c r="J25" s="15"/>
      <c r="K25" s="15"/>
    </row>
    <row r="26" spans="1:11" ht="15.75">
      <c r="A26" s="1" t="s">
        <v>161</v>
      </c>
      <c r="B26" s="29"/>
      <c r="C26" s="14">
        <v>0</v>
      </c>
      <c r="D26" s="14">
        <v>0</v>
      </c>
      <c r="E26" s="14">
        <v>0</v>
      </c>
      <c r="F26" s="14">
        <v>0</v>
      </c>
      <c r="G26" s="15"/>
      <c r="H26" s="15">
        <f>'P&amp;L'!F43-EQUITY!H24-EQUITY!H22</f>
        <v>918</v>
      </c>
      <c r="I26" s="15">
        <f>SUM(C26:H26)</f>
        <v>918</v>
      </c>
      <c r="J26" s="15">
        <f>'P&amp;L'!F44</f>
        <v>2835</v>
      </c>
      <c r="K26" s="15">
        <f>SUM(I26:J26)</f>
        <v>3753</v>
      </c>
    </row>
    <row r="27" spans="1:11" ht="15.75">
      <c r="A27" s="23"/>
      <c r="B27" s="29"/>
      <c r="C27" s="1"/>
      <c r="D27" s="1"/>
      <c r="E27" s="1"/>
      <c r="F27" s="15"/>
      <c r="G27" s="15"/>
      <c r="H27" s="15"/>
      <c r="I27" s="15"/>
      <c r="J27" s="15"/>
      <c r="K27" s="15"/>
    </row>
    <row r="28" spans="1:11" ht="16.5" thickBot="1">
      <c r="A28" s="23" t="s">
        <v>168</v>
      </c>
      <c r="B28" s="29"/>
      <c r="C28" s="12">
        <f aca="true" t="shared" si="0" ref="C28:H28">SUM(C17:C27)</f>
        <v>120000</v>
      </c>
      <c r="D28" s="12">
        <f t="shared" si="0"/>
        <v>29578.426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-73158</v>
      </c>
      <c r="I28" s="12">
        <f>SUM(I17:I27)</f>
        <v>76420.426</v>
      </c>
      <c r="J28" s="12">
        <f>SUM(J17:J27)</f>
        <v>4567</v>
      </c>
      <c r="K28" s="12">
        <f>SUM(K17:K27)</f>
        <v>80987.426</v>
      </c>
    </row>
    <row r="29" spans="1:10" ht="16.5" thickTop="1">
      <c r="A29" s="23"/>
      <c r="B29" s="29"/>
      <c r="C29" s="1"/>
      <c r="D29" s="1"/>
      <c r="E29" s="1"/>
      <c r="G29" s="18"/>
      <c r="H29" s="18"/>
      <c r="I29" s="18"/>
      <c r="J29" s="18"/>
    </row>
    <row r="30" spans="1:11" ht="15.75">
      <c r="A30" s="23"/>
      <c r="B30" s="29"/>
      <c r="C30" s="1"/>
      <c r="D30" s="1"/>
      <c r="F30" s="1"/>
      <c r="G30" s="18"/>
      <c r="H30" s="18" t="s">
        <v>0</v>
      </c>
      <c r="I30" s="18"/>
      <c r="J30" s="18"/>
      <c r="K30" t="s">
        <v>0</v>
      </c>
    </row>
    <row r="31" spans="1:10" ht="15.75">
      <c r="A31" s="23" t="s">
        <v>0</v>
      </c>
      <c r="B31" s="29"/>
      <c r="C31" s="1"/>
      <c r="D31" s="1"/>
      <c r="F31" s="1"/>
      <c r="G31" s="18"/>
      <c r="H31" s="18"/>
      <c r="I31" s="18"/>
      <c r="J31" s="18"/>
    </row>
    <row r="32" spans="1:11" ht="15.75">
      <c r="A32" s="23" t="s">
        <v>169</v>
      </c>
      <c r="B32" s="29"/>
      <c r="C32" s="15">
        <v>120000</v>
      </c>
      <c r="D32" s="15">
        <v>29578.426</v>
      </c>
      <c r="E32" s="15">
        <v>0</v>
      </c>
      <c r="F32" s="15">
        <v>0</v>
      </c>
      <c r="G32" s="15">
        <v>0</v>
      </c>
      <c r="H32" s="15">
        <v>-72227</v>
      </c>
      <c r="I32" s="15">
        <f>SUM(C32:H32)</f>
        <v>77351.426</v>
      </c>
      <c r="J32" s="15">
        <v>426.5</v>
      </c>
      <c r="K32" s="15">
        <f>SUM(I32:J32)</f>
        <v>77777.926</v>
      </c>
    </row>
    <row r="33" spans="1:11" ht="15.75">
      <c r="A33" s="23"/>
      <c r="B33" s="29"/>
      <c r="C33" s="15"/>
      <c r="D33" s="15"/>
      <c r="E33" s="15"/>
      <c r="F33" s="15"/>
      <c r="G33" s="15"/>
      <c r="H33" s="15"/>
      <c r="I33" s="15"/>
      <c r="J33" s="15"/>
      <c r="K33" s="15"/>
    </row>
    <row r="34" spans="1:13" ht="15.75">
      <c r="A34" s="1" t="s">
        <v>161</v>
      </c>
      <c r="B34" s="29"/>
      <c r="C34" s="14">
        <v>0</v>
      </c>
      <c r="D34" s="14">
        <v>0</v>
      </c>
      <c r="E34" s="14">
        <v>0</v>
      </c>
      <c r="F34" s="14">
        <v>0</v>
      </c>
      <c r="G34" s="18"/>
      <c r="H34" s="15">
        <f>'P&amp;L'!D43</f>
        <v>5025</v>
      </c>
      <c r="I34" s="15">
        <f>SUM(C34:H34)</f>
        <v>5025</v>
      </c>
      <c r="J34" s="15">
        <f>'P&amp;L'!D44</f>
        <v>-154</v>
      </c>
      <c r="K34" s="15">
        <f>SUM(I34:J34)</f>
        <v>4871</v>
      </c>
      <c r="M34" s="35"/>
    </row>
    <row r="35" spans="1:10" ht="15.75">
      <c r="A35" s="1"/>
      <c r="B35" s="29"/>
      <c r="C35" s="1"/>
      <c r="D35" s="1"/>
      <c r="F35" s="1"/>
      <c r="G35" s="18"/>
      <c r="H35" s="18"/>
      <c r="I35" s="18"/>
      <c r="J35" s="18"/>
    </row>
    <row r="36" spans="1:11" ht="16.5" thickBot="1">
      <c r="A36" s="23" t="s">
        <v>170</v>
      </c>
      <c r="B36" s="29"/>
      <c r="C36" s="12">
        <f aca="true" t="shared" si="1" ref="C36:J36">SUM(C32:C35)</f>
        <v>120000</v>
      </c>
      <c r="D36" s="12">
        <f t="shared" si="1"/>
        <v>29578.426</v>
      </c>
      <c r="E36" s="12">
        <f t="shared" si="1"/>
        <v>0</v>
      </c>
      <c r="F36" s="12">
        <f t="shared" si="1"/>
        <v>0</v>
      </c>
      <c r="G36" s="12">
        <f t="shared" si="1"/>
        <v>0</v>
      </c>
      <c r="H36" s="12">
        <f t="shared" si="1"/>
        <v>-67202</v>
      </c>
      <c r="I36" s="12">
        <f t="shared" si="1"/>
        <v>82376.426</v>
      </c>
      <c r="J36" s="12">
        <f t="shared" si="1"/>
        <v>272.5</v>
      </c>
      <c r="K36" s="12">
        <f>SUM(K32:K35)</f>
        <v>82648.926</v>
      </c>
    </row>
    <row r="37" spans="1:13" ht="16.5" thickTop="1">
      <c r="A37" s="23"/>
      <c r="B37" s="29"/>
      <c r="C37" s="1"/>
      <c r="D37" s="1"/>
      <c r="F37" s="1"/>
      <c r="G37" s="18"/>
      <c r="H37" s="18"/>
      <c r="I37" s="18"/>
      <c r="J37" s="18"/>
      <c r="K37" t="s">
        <v>0</v>
      </c>
      <c r="M37" s="35"/>
    </row>
    <row r="38" spans="1:10" ht="15.75">
      <c r="A38" s="23"/>
      <c r="B38" s="29"/>
      <c r="C38" s="1"/>
      <c r="D38" s="1"/>
      <c r="F38" s="1"/>
      <c r="G38" s="18"/>
      <c r="H38" s="18" t="s">
        <v>0</v>
      </c>
      <c r="I38" s="18"/>
      <c r="J38" s="18" t="s">
        <v>0</v>
      </c>
    </row>
    <row r="39" ht="12.75">
      <c r="H39" t="s">
        <v>0</v>
      </c>
    </row>
    <row r="42" ht="15.75">
      <c r="A42" s="23" t="s">
        <v>58</v>
      </c>
    </row>
    <row r="43" ht="15.75">
      <c r="A43" s="23" t="s">
        <v>147</v>
      </c>
    </row>
    <row r="53" ht="12.75">
      <c r="J53" t="s">
        <v>0</v>
      </c>
    </row>
  </sheetData>
  <mergeCells count="4"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2008-02-22T08:38:26Z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